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ownloads\"/>
    </mc:Choice>
  </mc:AlternateContent>
  <xr:revisionPtr revIDLastSave="0" documentId="8_{8CE48CA9-B688-4FC2-8F8E-73996C0ABB8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424" yWindow="2340" windowWidth="17280" windowHeight="896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36" i="5"/>
  <c r="C153" i="5"/>
  <c r="C203"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36" i="5"/>
  <c r="E136" i="5"/>
  <c r="V153" i="5"/>
  <c r="E153" i="5"/>
  <c r="V203" i="5"/>
  <c r="E203"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J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J227" i="5"/>
  <c r="I227" i="5"/>
  <c r="R41" i="5"/>
  <c r="X41" i="5"/>
  <c r="I41" i="5"/>
  <c r="H143" i="5"/>
  <c r="R143" i="5"/>
  <c r="F143" i="5"/>
  <c r="I143" i="5"/>
  <c r="X143" i="5"/>
  <c r="F177" i="5"/>
  <c r="X177" i="5"/>
  <c r="R177" i="5"/>
  <c r="H183" i="5"/>
  <c r="F183" i="5"/>
  <c r="X183" i="5"/>
  <c r="I183" i="5"/>
  <c r="R183" i="5"/>
  <c r="R241" i="5"/>
  <c r="F241" i="5"/>
  <c r="H247" i="5"/>
  <c r="I247" i="5"/>
  <c r="X247" i="5"/>
  <c r="F247" i="5"/>
  <c r="R247" i="5"/>
  <c r="J247" i="5"/>
  <c r="H259" i="5"/>
  <c r="X259" i="5"/>
  <c r="R259" i="5"/>
  <c r="J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I117" i="5"/>
  <c r="H117" i="5"/>
  <c r="AB137" i="5"/>
  <c r="AB147" i="5"/>
  <c r="AB169" i="5"/>
  <c r="F178" i="5"/>
  <c r="R178" i="5"/>
  <c r="I181" i="5"/>
  <c r="H181"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AB183"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J328" i="5"/>
  <c r="F328" i="5"/>
  <c r="R328" i="5"/>
  <c r="I328" i="5"/>
  <c r="H328" i="5"/>
  <c r="J220"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F172" i="5"/>
  <c r="I172" i="5"/>
  <c r="R172" i="5"/>
  <c r="H160" i="5"/>
  <c r="F160" i="5"/>
  <c r="R160" i="5"/>
  <c r="I160" i="5"/>
  <c r="H180" i="5"/>
  <c r="F180" i="5"/>
  <c r="R180" i="5"/>
  <c r="I180" i="5"/>
  <c r="H200" i="5"/>
  <c r="F200" i="5"/>
  <c r="R200" i="5"/>
  <c r="I200" i="5"/>
  <c r="H156" i="5"/>
  <c r="F156" i="5"/>
  <c r="R156" i="5"/>
  <c r="I156" i="5"/>
  <c r="J308" i="5"/>
  <c r="R308" i="5"/>
  <c r="H308" i="5"/>
  <c r="F308" i="5"/>
  <c r="I308" i="5"/>
  <c r="H100" i="5"/>
  <c r="F100" i="5"/>
  <c r="R100" i="5"/>
  <c r="I100" i="5"/>
  <c r="J312"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J21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J136" i="5"/>
  <c r="H136" i="5"/>
  <c r="F136" i="5"/>
  <c r="R136" i="5"/>
  <c r="I136" i="5"/>
  <c r="J320" i="5"/>
  <c r="F320" i="5"/>
  <c r="R320" i="5"/>
  <c r="I320" i="5"/>
  <c r="H320" i="5"/>
  <c r="H112" i="5"/>
  <c r="F112" i="5"/>
  <c r="R112" i="5"/>
  <c r="I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153"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136"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<sst xmlns="http://schemas.openxmlformats.org/spreadsheetml/2006/main" count="22553" uniqueCount="15828">
  <si>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</si>
  <si>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</si>
  <si>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</si>
  <si>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</si>
  <si>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</si>
  <si>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</si>
  <si>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</si>
  <si>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</si>
  <si>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</si>
  <si>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</si>
  <si>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</si>
  <si>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</si>
  <si>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</si>
  <si>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</si>
  <si>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</si>
  <si>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</si>
  <si>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</si>
  <si>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</si>
  <si>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</si>
  <si>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</si>
  <si>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</si>
  <si>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</si>
  <si>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</si>
  <si>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</si>
  <si>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</si>
  <si>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</si>
  <si>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</si>
  <si>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</si>
  <si>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</si>
  <si>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</si>
  <si>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</si>
  <si>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</si>
  <si>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</si>
  <si>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</si>
  <si>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</si>
  <si>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</si>
  <si>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</si>
  <si>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</si>
  <si>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</si>
  <si>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</si>
  <si>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</si>
  <si>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</si>
  <si>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</si>
  <si>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</si>
  <si>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</si>
  <si>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</si>
  <si>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</si>
  <si>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</si>
  <si>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</si>
  <si>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</si>
  <si>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</si>
  <si>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</si>
  <si>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</si>
  <si>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</si>
  <si>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</si>
  <si>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</si>
  <si>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</si>
  <si>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</si>
  <si>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</si>
  <si>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</si>
  <si>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</si>
  <si>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</si>
  <si>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</si>
  <si>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</si>
  <si>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</si>
  <si>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</si>
  <si>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</si>
  <si>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</si>
  <si>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</si>
  <si>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</si>
  <si>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</si>
  <si>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</si>
  <si>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</si>
  <si>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</si>
  <si>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</si>
  <si>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</si>
  <si>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</si>
  <si>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</si>
  <si>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</si>
  <si>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</si>
  <si>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</si>
  <si>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</si>
  <si>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</si>
  <si>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</si>
  <si>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</si>
  <si>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</si>
  <si>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</si>
  <si>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</si>
  <si>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</si>
  <si>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</si>
  <si>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</si>
  <si>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</si>
  <si>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</si>
  <si>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</si>
  <si>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</si>
  <si>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</si>
  <si>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</si>
  <si>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</si>
  <si>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</si>
  <si>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</si>
  <si>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</si>
  <si>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</si>
  <si>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</si>
  <si>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</si>
  <si>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</si>
  <si>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</si>
  <si>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</si>
  <si>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</si>
  <si>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</si>
  <si>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</si>
  <si>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</si>
  <si>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</si>
  <si>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</si>
  <si>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</si>
  <si>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</si>
  <si>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</si>
  <si>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</si>
  <si>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</si>
  <si>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</si>
  <si>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</si>
  <si>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</si>
  <si>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</si>
  <si>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</si>
  <si>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</si>
  <si>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</si>
  <si>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</si>
  <si>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</si>
  <si>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</si>
  <si>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</si>
  <si>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</si>
  <si>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</si>
  <si>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</si>
  <si>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</si>
  <si>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</si>
  <si>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</si>
  <si>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</si>
  <si>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</si>
  <si>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</si>
  <si>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</si>
  <si>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</si>
  <si>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</si>
  <si>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</si>
  <si>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</si>
  <si>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</si>
  <si>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</si>
  <si>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</si>
  <si>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</si>
  <si>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</si>
  <si>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</si>
  <si>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</si>
  <si>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</si>
  <si>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</si>
  <si>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</si>
  <si>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</si>
  <si>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</si>
  <si>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</si>
  <si>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</si>
  <si>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</si>
  <si>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</si>
  <si>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</si>
  <si>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</si>
  <si>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</si>
  <si>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</si>
  <si>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</si>
  <si>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</si>
  <si>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</si>
  <si>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</si>
  <si>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</si>
  <si>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</si>
  <si>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</si>
  <si>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</si>
  <si>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</si>
  <si>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</si>
  <si>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</si>
  <si>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</si>
  <si>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</si>
  <si>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</si>
  <si>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</si>
  <si>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</si>
  <si>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</si>
  <si>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</si>
  <si>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</si>
  <si>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</si>
  <si>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</si>
  <si>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</si>
  <si>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</si>
  <si>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</si>
  <si>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</si>
  <si>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</si>
  <si>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</si>
  <si>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</si>
  <si>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</si>
  <si>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</si>
  <si>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</si>
  <si>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</si>
  <si>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</si>
  <si>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</si>
  <si>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</si>
  <si>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</si>
  <si>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</si>
  <si>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</si>
  <si>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</si>
  <si>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</si>
  <si>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</si>
  <si>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</si>
  <si>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</si>
  <si>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</si>
  <si>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</si>
  <si>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</si>
  <si>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</si>
  <si>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</si>
  <si>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</si>
  <si>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</si>
  <si>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</si>
  <si>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</si>
  <si>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</si>
  <si>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</si>
  <si>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</si>
  <si>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</si>
  <si>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</si>
  <si>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</si>
  <si>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</si>
  <si>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</si>
  <si>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</si>
  <si>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</si>
  <si>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</si>
  <si>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</si>
  <si>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</si>
  <si>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</si>
  <si>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</si>
  <si>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</si>
  <si>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</si>
  <si>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</si>
  <si>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</si>
  <si>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</si>
  <si>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</si>
  <si>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</si>
  <si>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</si>
  <si>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</si>
  <si>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</si>
  <si>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</si>
  <si>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</si>
  <si>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</si>
  <si>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</si>
  <si>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</si>
  <si>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</si>
  <si>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</si>
  <si>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</si>
  <si>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</si>
  <si>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</si>
  <si>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</si>
  <si>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</si>
  <si>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</si>
  <si>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</si>
  <si>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</si>
  <si>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</si>
  <si>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</si>
  <si>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</si>
  <si>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</si>
  <si>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</si>
  <si>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</si>
  <si>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</si>
  <si>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</si>
  <si>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</si>
  <si>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</si>
  <si>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</si>
  <si>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</si>
  <si>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</si>
  <si>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</si>
  <si>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</si>
  <si>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</si>
  <si>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</si>
  <si>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</si>
  <si>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</si>
  <si>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</si>
  <si>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</si>
  <si>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</si>
  <si>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</si>
  <si>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</si>
  <si>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</si>
  <si>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</si>
  <si>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</si>
  <si>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</si>
  <si>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</si>
  <si>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</si>
  <si>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</si>
  <si>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</si>
  <si>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</si>
  <si>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</si>
  <si>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</si>
  <si>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</si>
  <si>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</si>
  <si>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</si>
  <si>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</si>
  <si>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</si>
  <si>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</si>
  <si>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</si>
  <si>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</si>
  <si>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</si>
  <si>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</si>
  <si>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</si>
  <si>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</si>
  <si>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</si>
  <si>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</si>
  <si>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</si>
  <si>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</si>
  <si>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</si>
  <si>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</si>
  <si>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</si>
  <si>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</si>
  <si>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</si>
  <si>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</si>
  <si>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</si>
  <si>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</si>
  <si>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</si>
  <si>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</si>
  <si>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</si>
  <si>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</si>
  <si>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</si>
  <si>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</si>
  <si>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</si>
  <si>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</si>
  <si>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</si>
  <si>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</si>
  <si>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</si>
  <si>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</si>
  <si>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</si>
  <si>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</si>
  <si>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</si>
  <si>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</si>
  <si>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</si>
  <si>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</si>
  <si>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</si>
  <si>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</si>
  <si>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</si>
  <si>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</si>
  <si>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</si>
  <si>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</si>
  <si>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</si>
  <si>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</si>
  <si>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</si>
  <si>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</si>
  <si>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</si>
  <si>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</si>
  <si>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</si>
  <si>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</si>
  <si>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</si>
  <si>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</si>
  <si>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</si>
  <si>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</si>
  <si>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</si>
  <si>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</si>
  <si>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</si>
  <si>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</si>
  <si>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</si>
  <si>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</si>
  <si>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</si>
  <si>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</si>
  <si>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</si>
  <si>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</si>
  <si>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</si>
  <si>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</si>
  <si>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</si>
  <si>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</si>
  <si>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</si>
  <si>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</si>
  <si>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</si>
  <si>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</si>
  <si>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</si>
  <si>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</si>
  <si>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</si>
  <si>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</si>
  <si>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</si>
  <si>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</si>
  <si>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</si>
  <si>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</si>
  <si>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</si>
  <si>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</si>
  <si>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</si>
  <si>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</si>
  <si>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</si>
  <si>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</si>
  <si>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</si>
  <si>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</si>
  <si>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</si>
  <si>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</si>
  <si>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</si>
  <si>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</si>
  <si>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</si>
  <si>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</si>
  <si>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</si>
  <si>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</si>
  <si>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</si>
  <si>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</si>
  <si>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</si>
  <si>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</si>
  <si>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</si>
  <si>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</si>
  <si>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</si>
  <si>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</si>
  <si>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</si>
  <si>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</si>
  <si>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</si>
  <si>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</si>
  <si>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</si>
  <si>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</si>
  <si>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</si>
  <si>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</si>
  <si>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</si>
  <si>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</si>
  <si>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</si>
  <si>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</si>
  <si>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</si>
  <si>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</si>
  <si>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</si>
  <si>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</si>
  <si>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</si>
  <si>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</si>
  <si>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</si>
  <si>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</si>
  <si>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</si>
  <si>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</si>
  <si>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</si>
  <si>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</si>
  <si>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</si>
  <si>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</si>
  <si>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</si>
  <si>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</si>
  <si>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</si>
  <si>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</si>
  <si>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</si>
  <si>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</si>
  <si>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</si>
  <si>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</si>
  <si>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</si>
  <si>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</si>
  <si>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</si>
  <si>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</si>
  <si>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</si>
  <si>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</si>
  <si>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</si>
  <si>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</si>
  <si>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</si>
  <si>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</si>
  <si>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</si>
  <si>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</si>
  <si>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</si>
  <si>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</si>
  <si>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</si>
  <si>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</si>
  <si>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</si>
  <si>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</si>
  <si>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</si>
  <si>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</si>
  <si>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</si>
  <si>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</si>
  <si>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</si>
  <si>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</si>
  <si>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</si>
  <si>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</si>
  <si>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</si>
  <si>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</si>
  <si>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</si>
  <si>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</si>
  <si>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</si>
  <si>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</si>
  <si>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</si>
  <si>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</si>
  <si>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</si>
  <si>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</si>
  <si>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</si>
  <si>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</si>
  <si>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</si>
  <si>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</si>
  <si>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</si>
  <si>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</si>
  <si>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</si>
  <si>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</si>
  <si>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</si>
  <si>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</si>
  <si>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</si>
  <si>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</si>
  <si>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</si>
  <si>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</si>
  <si>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</si>
  <si>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</si>
  <si>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</si>
  <si>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</si>
  <si>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</si>
  <si>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</si>
  <si>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</si>
  <si>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</si>
  <si>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</si>
  <si>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</si>
  <si>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</si>
  <si>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</si>
  <si>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</si>
  <si>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</si>
  <si>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</si>
  <si>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</si>
  <si>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</si>
  <si>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</si>
  <si>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</si>
  <si>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</si>
  <si>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</si>
  <si>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</si>
  <si>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</si>
  <si>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</si>
  <si>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</si>
  <si>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</si>
  <si>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</si>
  <si>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</si>
  <si>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</si>
  <si>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</si>
  <si>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</si>
  <si>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</si>
  <si>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</si>
  <si>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</si>
  <si>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</si>
  <si>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</si>
  <si>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</si>
  <si>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</si>
  <si>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</si>
  <si>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</si>
  <si>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</si>
  <si>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</si>
  <si>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</si>
  <si>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</si>
  <si>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</si>
  <si>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</si>
  <si>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</si>
  <si>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</si>
  <si>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</si>
  <si>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</si>
  <si>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</si>
  <si>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</si>
  <si>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</si>
  <si>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</si>
  <si>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</si>
  <si>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</si>
  <si>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</si>
  <si>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</si>
  <si>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</si>
  <si>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</si>
  <si>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</si>
  <si>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</si>
  <si>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</si>
  <si>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</si>
  <si>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</si>
  <si>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</si>
  <si>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</si>
  <si>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</si>
  <si>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</si>
  <si>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</si>
  <si>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</si>
  <si>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</si>
  <si>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</si>
  <si>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</si>
  <si>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</si>
  <si>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</si>
  <si>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</si>
  <si>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</si>
  <si>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</si>
  <si>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</si>
  <si>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</si>
  <si>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</si>
  <si>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</si>
  <si>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</si>
  <si>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</si>
  <si>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</si>
  <si>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</si>
  <si>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</si>
  <si>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</si>
  <si>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</si>
  <si>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</si>
  <si>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</si>
  <si>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</si>
  <si>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</si>
  <si>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</si>
  <si>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</si>
  <si>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</si>
  <si>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</si>
  <si>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</si>
  <si>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</si>
  <si>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</si>
  <si>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</si>
  <si>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</si>
  <si>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</si>
  <si>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</si>
  <si>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</si>
  <si>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</si>
  <si>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</si>
  <si>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</si>
  <si>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</si>
  <si>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</si>
  <si>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</si>
  <si>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</si>
  <si>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</si>
  <si>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</si>
  <si>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</si>
  <si>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</si>
  <si>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</si>
  <si>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</si>
  <si>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</si>
  <si>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</si>
  <si>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</si>
  <si>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</si>
  <si>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</si>
  <si>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</si>
  <si>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</si>
  <si>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</si>
  <si>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</si>
  <si>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</si>
  <si>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</si>
  <si>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</si>
  <si>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</si>
  <si>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</si>
  <si>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</si>
  <si>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</si>
  <si>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</si>
  <si>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</si>
  <si>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</si>
  <si>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</si>
  <si>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</si>
  <si>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</si>
  <si>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</si>
  <si>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</si>
  <si>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</si>
  <si>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</si>
  <si>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</si>
  <si>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</si>
  <si>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</si>
  <si>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</si>
  <si>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</si>
  <si>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</si>
  <si>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</si>
  <si>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</si>
  <si>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</si>
  <si>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</si>
  <si>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</si>
  <si>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</si>
  <si>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</si>
  <si>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</si>
  <si>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</si>
  <si>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</si>
  <si>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</si>
  <si>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</si>
  <si>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</si>
  <si>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</si>
  <si>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</si>
  <si>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</si>
  <si>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</si>
  <si>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</si>
  <si>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</si>
  <si>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</si>
  <si>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</si>
  <si>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</si>
  <si>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</si>
  <si>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</si>
  <si>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</si>
  <si>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</si>
  <si>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</si>
  <si>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</si>
  <si>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</si>
  <si>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</si>
  <si>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</si>
  <si>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</si>
  <si>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</si>
  <si>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</si>
  <si>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</si>
  <si>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</si>
  <si>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</si>
  <si>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</si>
  <si>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</si>
  <si>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</si>
  <si>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</si>
  <si>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</si>
  <si>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</si>
  <si>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</si>
  <si>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</si>
  <si>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</si>
  <si>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</si>
  <si>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</si>
  <si>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</si>
  <si>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</si>
  <si>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</si>
  <si>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</si>
  <si>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</si>
  <si>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</si>
  <si>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</si>
  <si>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</si>
  <si>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</si>
  <si>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</si>
  <si>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</si>
  <si>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</si>
  <si>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</si>
  <si>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</si>
  <si>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</si>
  <si>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</si>
  <si>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</si>
  <si>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</si>
  <si>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</si>
  <si>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</si>
  <si>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</si>
  <si>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</si>
  <si>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</si>
  <si>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</si>
  <si>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</si>
  <si>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</si>
  <si>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</si>
  <si>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</si>
  <si>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</si>
  <si>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</si>
  <si>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</si>
  <si>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</si>
  <si>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</si>
  <si>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</si>
  <si>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</si>
  <si>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</si>
  <si>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</si>
  <si>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</si>
  <si>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</si>
  <si>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</si>
  <si>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</si>
  <si>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</si>
  <si>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</si>
  <si>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</si>
  <si>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</si>
  <si>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</si>
  <si>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</si>
  <si>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</si>
  <si>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</si>
  <si>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</si>
  <si>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</si>
  <si>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</si>
  <si>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</si>
  <si>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</si>
  <si>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</si>
  <si>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</si>
  <si>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</si>
  <si>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</si>
  <si>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</si>
  <si>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</si>
  <si>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</si>
  <si>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</si>
  <si>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</si>
  <si>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</si>
  <si>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</si>
  <si>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</si>
  <si>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</si>
  <si>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</si>
  <si>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</si>
  <si>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</si>
  <si>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</si>
  <si>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</si>
  <si>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</si>
  <si>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</si>
  <si>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</si>
  <si>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</si>
  <si>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</si>
  <si>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</si>
  <si>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</si>
  <si>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</si>
  <si>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</si>
  <si>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</si>
  <si>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</si>
  <si>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</si>
  <si>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</si>
  <si>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</si>
  <si>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</si>
  <si>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</si>
  <si>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</si>
  <si>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</si>
  <si>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</si>
  <si>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</si>
  <si>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</si>
  <si>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</si>
  <si>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</si>
  <si>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</si>
  <si>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</si>
  <si>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</si>
  <si>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</si>
  <si>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</si>
  <si>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</si>
  <si>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</si>
  <si>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</si>
  <si>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</si>
  <si>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</si>
  <si>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</si>
  <si>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</si>
  <si>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</si>
  <si>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</si>
  <si>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</si>
  <si>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</si>
  <si>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</si>
  <si>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</si>
  <si>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</si>
  <si>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</si>
  <si>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</si>
  <si>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</si>
  <si>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</si>
  <si>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</si>
  <si>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</si>
  <si>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</si>
  <si>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</si>
  <si>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</si>
  <si>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</si>
  <si>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</si>
  <si>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</si>
  <si>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</si>
  <si>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</si>
  <si>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</si>
  <si>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</si>
  <si>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</si>
  <si>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</si>
  <si>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</si>
  <si>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</si>
  <si>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</si>
  <si>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</si>
  <si>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</si>
  <si>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</si>
  <si>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</si>
  <si>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</si>
  <si>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</si>
  <si>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</si>
  <si>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</si>
  <si>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</si>
  <si>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</si>
  <si>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</si>
  <si>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</si>
  <si>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</si>
  <si>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</si>
  <si>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</si>
  <si>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</si>
  <si>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</si>
  <si>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</si>
  <si>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</si>
  <si>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</si>
  <si>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</si>
  <si>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</si>
  <si>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</si>
  <si>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</si>
  <si>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</si>
  <si>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</si>
  <si>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</si>
  <si>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</si>
  <si>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</si>
  <si>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</si>
  <si>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</si>
  <si>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</si>
  <si>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</si>
  <si>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</si>
  <si>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</si>
  <si>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</si>
  <si>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</si>
  <si>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</si>
  <si>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</si>
  <si>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</si>
  <si>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</si>
  <si>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</si>
  <si>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</si>
  <si>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</si>
  <si>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</si>
  <si>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</si>
  <si>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</si>
  <si>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</si>
  <si>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</si>
  <si>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</si>
  <si>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</si>
  <si>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</si>
  <si>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</si>
  <si>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</si>
  <si>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</si>
  <si>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</si>
  <si>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</si>
  <si>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</si>
  <si>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</si>
  <si>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</si>
  <si>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</si>
  <si>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</si>
  <si>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</si>
  <si>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</si>
  <si>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</si>
  <si>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</si>
  <si>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</si>
  <si>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</si>
  <si>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</si>
  <si>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</si>
  <si>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</si>
  <si>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</si>
  <si>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</si>
  <si>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</si>
  <si>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</si>
  <si>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</si>
  <si>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</si>
  <si>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</si>
  <si>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</si>
  <si>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</si>
  <si>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</si>
  <si>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</si>
  <si>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</si>
  <si>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</si>
  <si>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</si>
  <si>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</si>
  <si>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</si>
  <si>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</si>
  <si>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</si>
  <si>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</si>
  <si>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</si>
  <si>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</si>
  <si>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</si>
  <si>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</si>
  <si>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</si>
  <si>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</si>
  <si>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</si>
  <si>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</si>
  <si>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</si>
  <si>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</si>
  <si>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</si>
  <si>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</si>
  <si>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</si>
  <si>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</si>
  <si>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</si>
  <si>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</si>
  <si>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</si>
  <si>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</si>
  <si>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</si>
  <si>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</si>
  <si>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</si>
  <si>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</si>
  <si>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</si>
  <si>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</si>
  <si>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</si>
  <si>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</si>
  <si>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</si>
  <si>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</si>
  <si>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</si>
  <si>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</si>
  <si>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</si>
  <si>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</si>
  <si>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</si>
  <si>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</si>
  <si>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</si>
  <si>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</si>
  <si>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</si>
  <si>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</si>
  <si>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</si>
  <si>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</si>
  <si>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</si>
  <si>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</si>
  <si>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</si>
  <si>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</si>
  <si>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</si>
  <si>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</si>
  <si>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</si>
  <si>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</si>
  <si>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</si>
  <si>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</si>
  <si>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</si>
  <si>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</si>
  <si>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</si>
  <si>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</si>
  <si>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</si>
  <si>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</si>
  <si>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</si>
  <si>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</si>
  <si>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</si>
  <si>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</si>
  <si>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</si>
  <si>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</si>
  <si>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</si>
  <si>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</si>
  <si>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</si>
  <si>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</si>
  <si>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</si>
  <si>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</si>
  <si>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</si>
  <si>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</si>
  <si>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</si>
  <si>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</si>
  <si>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</si>
  <si>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</si>
  <si>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</si>
  <si>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</si>
  <si>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</si>
  <si>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</si>
  <si>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</si>
  <si>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</si>
  <si>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</si>
  <si>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</si>
  <si>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</si>
  <si>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</si>
  <si>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</si>
  <si>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</si>
  <si>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</si>
  <si>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</si>
  <si>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</si>
  <si>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</si>
  <si>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</si>
  <si>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</si>
  <si>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</si>
  <si>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</si>
  <si>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</si>
  <si>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</si>
  <si>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</si>
  <si>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</si>
  <si>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</si>
  <si>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</si>
  <si>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</si>
  <si>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</si>
  <si>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</si>
  <si>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</si>
  <si>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</si>
  <si>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</si>
  <si>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</si>
  <si>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</si>
  <si>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</si>
  <si>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</si>
  <si>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</si>
  <si>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</si>
  <si>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</si>
  <si>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</si>
  <si>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</si>
  <si>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</si>
  <si>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</si>
  <si>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</si>
  <si>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</si>
  <si>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</si>
  <si>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</si>
  <si>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</si>
  <si>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</si>
  <si>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</si>
  <si>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</si>
  <si>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</si>
  <si>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</si>
  <si>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</si>
  <si>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</si>
  <si>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</si>
  <si>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</si>
  <si>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</si>
  <si>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</si>
  <si>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</si>
  <si>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</si>
  <si>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</si>
  <si>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</si>
  <si>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</si>
  <si>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</si>
  <si>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</si>
  <si>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</si>
  <si>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</si>
  <si>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</si>
  <si>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</si>
  <si>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</si>
  <si>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</si>
  <si>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</si>
  <si>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</si>
  <si>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</si>
  <si>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</si>
  <si>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</si>
  <si>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</si>
  <si>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</si>
  <si>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</si>
  <si>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</si>
  <si>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</si>
  <si>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</si>
  <si>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</si>
  <si>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</si>
  <si>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</si>
  <si>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</si>
  <si>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</si>
  <si>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</si>
  <si>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</si>
  <si>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</si>
  <si>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</si>
  <si>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</si>
  <si>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</si>
  <si>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</si>
  <si>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</si>
  <si>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</si>
  <si>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</si>
  <si>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</si>
  <si>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</si>
  <si>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</si>
  <si>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</si>
  <si>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</si>
  <si>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</si>
  <si>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</si>
  <si>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</si>
  <si>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</si>
  <si>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</si>
  <si>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</si>
  <si>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</si>
  <si>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</si>
  <si>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</si>
  <si>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</si>
  <si>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</si>
  <si>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</si>
  <si>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</si>
  <si>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</si>
  <si>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</si>
  <si>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</si>
  <si>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</si>
  <si>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</si>
  <si>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</si>
  <si>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</si>
  <si>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</si>
  <si>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</si>
  <si>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</si>
  <si>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</si>
  <si>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</si>
  <si>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</si>
  <si>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</si>
  <si>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</si>
  <si>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</si>
  <si>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</si>
  <si>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</si>
  <si>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</si>
  <si>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</si>
  <si>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</si>
  <si>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</si>
  <si>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</si>
  <si>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</si>
  <si>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</si>
  <si>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</si>
  <si>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</si>
  <si>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</si>
  <si>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</si>
  <si>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</si>
  <si>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</si>
  <si>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</si>
  <si>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</si>
  <si>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</si>
  <si>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</si>
  <si>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</si>
  <si>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</si>
  <si>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</si>
  <si>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</si>
  <si>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</si>
  <si>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</si>
  <si>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</si>
  <si>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</si>
  <si>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</si>
  <si>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</si>
  <si>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</si>
  <si>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</si>
  <si>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</si>
  <si>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</si>
  <si>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</si>
  <si>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</si>
  <si>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</si>
  <si>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</si>
  <si>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</si>
  <si>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</si>
  <si>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</si>
  <si>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</si>
  <si>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</si>
  <si>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</si>
  <si>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</si>
  <si>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</si>
  <si>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</si>
  <si>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</si>
  <si>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</si>
  <si>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</si>
  <si>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</si>
  <si>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</si>
  <si>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</si>
  <si>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</si>
  <si>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</si>
  <si>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</si>
  <si>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</si>
  <si>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</si>
  <si>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</si>
  <si>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</si>
  <si>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</si>
  <si>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</si>
  <si>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</si>
  <si>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</si>
  <si>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</si>
  <si>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</si>
  <si>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</si>
  <si>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</si>
  <si>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</si>
  <si>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</si>
  <si>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</si>
  <si>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</si>
  <si>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</si>
  <si>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</si>
  <si>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</si>
  <si>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</si>
  <si>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</si>
  <si>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</si>
  <si>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</si>
  <si>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</si>
  <si>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</si>
  <si>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</si>
  <si>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</si>
  <si>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</si>
  <si>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</si>
  <si>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</si>
  <si>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</si>
  <si>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</si>
  <si>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</si>
  <si>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</si>
  <si>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</si>
  <si>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</si>
  <si>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</si>
  <si>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</si>
  <si>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</si>
  <si>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</si>
  <si>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</si>
  <si>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</si>
  <si>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</si>
  <si>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</si>
  <si>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</si>
  <si>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</si>
  <si>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</si>
  <si>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</si>
  <si>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</si>
  <si>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</si>
  <si>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</si>
  <si>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</si>
  <si>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</si>
  <si>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</si>
  <si>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</si>
  <si>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</si>
  <si>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</si>
  <si>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</si>
  <si>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</si>
  <si>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</si>
  <si>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</si>
  <si>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</si>
  <si>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</si>
  <si>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</si>
  <si>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</si>
  <si>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</si>
  <si>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</si>
  <si>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</si>
  <si>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</si>
  <si>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</si>
  <si>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</si>
  <si>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</si>
  <si>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</si>
  <si>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</si>
  <si>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</si>
  <si>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</si>
  <si>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</si>
  <si>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</si>
  <si>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</si>
  <si>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</si>
  <si>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</si>
  <si>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</si>
  <si>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</si>
  <si>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</si>
  <si>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</si>
  <si>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</si>
  <si>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</si>
  <si>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</si>
  <si>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</si>
  <si>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</si>
  <si>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</si>
  <si>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</si>
  <si>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</si>
  <si>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</si>
  <si>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</si>
  <si>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</si>
  <si>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</si>
  <si>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</si>
  <si>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</si>
  <si>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</si>
  <si>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</si>
  <si>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</si>
  <si>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</si>
  <si>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</si>
  <si>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</si>
  <si>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</si>
  <si>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</si>
  <si>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</si>
  <si>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</si>
  <si>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</si>
  <si>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</si>
  <si>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</si>
  <si>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</si>
  <si>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</si>
  <si>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</si>
  <si>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</si>
  <si>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</si>
  <si>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</si>
  <si>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</si>
  <si>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</si>
  <si>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</si>
  <si>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</si>
  <si>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</si>
  <si>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</si>
  <si>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</si>
  <si>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</si>
  <si>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</si>
  <si>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</si>
  <si>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</si>
  <si>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</si>
  <si>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</si>
  <si>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</si>
  <si>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</si>
  <si>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</si>
  <si>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</si>
  <si>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</si>
  <si>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</si>
  <si>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</si>
  <si>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</si>
  <si>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</si>
  <si>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</si>
  <si>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</si>
  <si>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</si>
  <si>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</si>
  <si>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</si>
  <si>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</si>
  <si>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</si>
  <si>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</si>
  <si>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</si>
  <si>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</si>
  <si>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</si>
  <si>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</si>
  <si>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</si>
  <si>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</si>
  <si>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</si>
  <si>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</si>
  <si>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</si>
  <si>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</si>
  <si>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</si>
  <si>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</si>
  <si>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</si>
  <si>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</si>
  <si>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</si>
  <si>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</si>
  <si>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</si>
  <si>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</si>
  <si>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</si>
  <si>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</si>
  <si>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</si>
  <si>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</si>
  <si>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</si>
  <si>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</si>
  <si>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</si>
  <si>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</si>
  <si>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</si>
  <si>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</si>
  <si>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</si>
  <si>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</si>
  <si>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</si>
  <si>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</si>
  <si>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</si>
  <si>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</si>
  <si>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</si>
  <si>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</si>
  <si>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</si>
  <si>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</si>
  <si>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</si>
  <si>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</si>
  <si>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</si>
  <si>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</si>
  <si>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</si>
  <si>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</si>
  <si>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</si>
  <si>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</si>
  <si>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</si>
  <si>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</si>
  <si>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</si>
  <si>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</si>
  <si>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</si>
  <si>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</si>
  <si>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</si>
  <si>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</si>
  <si>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</si>
  <si>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</si>
  <si>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</si>
  <si>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</si>
  <si>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</si>
  <si>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</si>
  <si>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</si>
  <si>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</si>
  <si>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</si>
  <si>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</si>
  <si>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</si>
  <si>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</si>
  <si>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</si>
  <si>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</si>
  <si>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</si>
  <si>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</si>
  <si>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</si>
  <si>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</si>
  <si>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</si>
  <si>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</si>
  <si>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</si>
  <si>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</si>
  <si>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</si>
  <si>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</si>
  <si>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</si>
  <si>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</si>
  <si>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</si>
  <si>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</si>
  <si>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</si>
  <si>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</si>
  <si>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</si>
  <si>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</si>
  <si>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</si>
  <si>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</si>
  <si>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</si>
  <si>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</si>
  <si>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</si>
  <si>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</si>
  <si>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</si>
  <si>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</si>
  <si>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</si>
  <si>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</si>
  <si>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</si>
  <si>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</si>
  <si>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</si>
  <si>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</si>
  <si>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</si>
  <si>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</si>
  <si>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</si>
  <si>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</si>
  <si>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</si>
  <si>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</si>
  <si>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</si>
  <si>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</si>
  <si>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</si>
  <si>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</si>
  <si>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</si>
  <si>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</si>
  <si>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</si>
  <si>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</si>
  <si>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</si>
  <si>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</si>
  <si>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</si>
  <si>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</si>
  <si>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</si>
  <si>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</si>
  <si>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</si>
  <si>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</si>
  <si>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</si>
  <si>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</si>
  <si>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</si>
  <si>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</si>
  <si>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</si>
  <si>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</si>
  <si>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</si>
  <si>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</si>
  <si>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</si>
  <si>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</si>
  <si>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</si>
  <si>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</si>
  <si>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</si>
  <si>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</si>
  <si>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</si>
  <si>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</si>
  <si>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</si>
  <si>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</si>
  <si>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</si>
  <si>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</si>
  <si>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</si>
  <si>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</si>
  <si>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</si>
  <si>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</si>
  <si>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</si>
  <si>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</si>
  <si>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</si>
  <si>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</si>
  <si>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</si>
  <si>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</si>
  <si>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</si>
  <si>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</si>
  <si>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</si>
  <si>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</si>
  <si>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</si>
  <si>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</si>
  <si>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</si>
  <si>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</si>
  <si>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</si>
  <si>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</si>
  <si>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</si>
  <si>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</si>
  <si>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</si>
  <si>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</si>
  <si>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</si>
  <si>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</si>
  <si>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</si>
  <si>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</si>
  <si>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</si>
  <si>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</si>
  <si>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</si>
  <si>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</si>
  <si>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</si>
  <si>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</si>
  <si>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</si>
  <si>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</si>
  <si>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</si>
  <si>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</si>
  <si>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</si>
  <si>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</si>
  <si>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</si>
  <si>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</si>
  <si>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</si>
  <si>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</si>
  <si>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</si>
  <si>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</si>
  <si>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</si>
  <si>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</si>
  <si>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</si>
  <si>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</si>
  <si>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</si>
  <si>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</si>
  <si>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</si>
  <si>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</si>
  <si>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</si>
  <si>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</si>
  <si>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</si>
  <si>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</si>
  <si>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</si>
  <si>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</si>
  <si>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</si>
  <si>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</si>
  <si>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</si>
  <si>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</si>
  <si>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</si>
  <si>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</si>
  <si>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</si>
  <si>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</si>
  <si>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</si>
  <si>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</si>
  <si>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</si>
  <si>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</si>
  <si>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</si>
  <si>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</si>
  <si>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</si>
  <si>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</si>
  <si>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</si>
  <si>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</si>
  <si>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</si>
  <si>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</si>
  <si>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</si>
  <si>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</si>
  <si>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</si>
  <si>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</si>
  <si>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</si>
  <si>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</si>
  <si>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</si>
  <si>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</si>
  <si>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</si>
  <si>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</si>
  <si>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</si>
  <si>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</si>
  <si>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</si>
  <si>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</si>
  <si>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</si>
  <si>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</si>
  <si>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</si>
  <si>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</si>
  <si>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</si>
  <si>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</si>
  <si>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</si>
  <si>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</si>
  <si>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</si>
  <si>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</si>
  <si>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</si>
  <si>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</si>
  <si>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</si>
  <si>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</si>
  <si>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</si>
  <si>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</si>
  <si>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</si>
  <si>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</si>
  <si>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</si>
  <si>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</si>
  <si>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</si>
  <si>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</si>
  <si>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</si>
  <si>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</si>
  <si>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</si>
  <si>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</si>
  <si>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</si>
  <si>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</si>
  <si>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</si>
  <si>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</si>
  <si>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</si>
  <si>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</si>
  <si>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</si>
  <si>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</si>
  <si>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</si>
  <si>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</si>
  <si>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</si>
  <si>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</si>
  <si>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</si>
  <si>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</si>
  <si>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</si>
  <si>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</si>
  <si>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</si>
  <si>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</si>
  <si>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</si>
  <si>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</si>
  <si>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</si>
  <si>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</si>
  <si>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</si>
  <si>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</si>
  <si>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</si>
  <si>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</si>
  <si>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</si>
  <si>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</si>
  <si>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</si>
  <si>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</si>
  <si>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</si>
  <si>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</si>
  <si>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</si>
  <si>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</si>
  <si>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</si>
  <si>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</si>
  <si>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</si>
  <si>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</si>
  <si>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</si>
  <si>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</si>
  <si>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</si>
  <si>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</si>
  <si>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</si>
  <si>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</si>
  <si>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</si>
  <si>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</si>
  <si>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</si>
  <si>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</si>
  <si>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</si>
  <si>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</si>
  <si>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</si>
  <si>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</si>
  <si>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</si>
  <si>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</si>
  <si>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</si>
  <si>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</si>
  <si>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</si>
  <si>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</si>
  <si>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</si>
  <si>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</si>
  <si>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</si>
  <si>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</si>
  <si>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</si>
  <si>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</si>
  <si>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</si>
  <si>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</si>
  <si>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</si>
  <si>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</si>
  <si>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</si>
  <si>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</si>
  <si>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</si>
  <si>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</si>
  <si>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</si>
  <si>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</si>
  <si>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</si>
  <si>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</si>
  <si>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</si>
  <si>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</si>
  <si>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</si>
  <si>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</si>
  <si>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</si>
  <si>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</si>
  <si>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</si>
  <si>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</si>
  <si>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</si>
  <si>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</si>
  <si>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</si>
  <si>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</si>
  <si>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</si>
  <si>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</si>
  <si>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</si>
  <si>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</si>
  <si>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</si>
  <si>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</si>
  <si>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</si>
  <si>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</si>
  <si>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</si>
  <si>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</si>
  <si>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</si>
  <si>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</si>
  <si>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</si>
  <si>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</si>
  <si>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</si>
  <si>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</si>
  <si>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</si>
  <si>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</si>
  <si>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</si>
  <si>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</si>
  <si>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</si>
  <si>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</si>
  <si>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</si>
  <si>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</si>
  <si>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</si>
  <si>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</si>
  <si>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</si>
  <si>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</si>
  <si>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</si>
  <si>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</si>
  <si>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</si>
  <si>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</si>
  <si>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</si>
  <si>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</si>
  <si>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</si>
  <si>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</si>
  <si>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</si>
  <si>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</si>
  <si>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</si>
  <si>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</si>
  <si>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</si>
  <si>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</si>
  <si>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</si>
  <si>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</si>
  <si>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</si>
  <si>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</si>
  <si>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</si>
  <si>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</si>
  <si>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</si>
  <si>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</si>
  <si>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</si>
  <si>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</si>
  <si>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</si>
  <si>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</si>
  <si>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</si>
  <si>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</si>
  <si>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</si>
  <si>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</si>
  <si>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</si>
  <si>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</si>
  <si>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</si>
  <si>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</si>
  <si>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</si>
  <si>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</si>
  <si>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</si>
  <si>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</si>
  <si>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</si>
  <si>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</si>
  <si>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</si>
  <si>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</si>
  <si>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</si>
  <si>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</si>
  <si>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</si>
  <si>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</si>
  <si>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</si>
  <si>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</si>
  <si>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</si>
  <si>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</si>
  <si>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</si>
  <si>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</si>
  <si>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</si>
  <si>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</si>
  <si>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</si>
  <si>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</si>
  <si>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</si>
  <si>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</si>
  <si>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</si>
  <si>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</si>
  <si>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</si>
  <si>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</si>
  <si>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</si>
  <si>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</si>
  <si>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</si>
  <si>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</si>
  <si>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</si>
  <si>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</si>
  <si>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</si>
  <si>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</si>
  <si>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</si>
  <si>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</si>
  <si>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</si>
  <si>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</si>
  <si>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</si>
  <si>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</si>
  <si>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</si>
  <si>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</si>
  <si>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</si>
  <si>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</si>
  <si>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</si>
  <si>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</si>
  <si>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</si>
  <si>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</si>
  <si>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</si>
  <si>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</si>
  <si>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</si>
  <si>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</si>
  <si>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</si>
  <si>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</si>
  <si>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</si>
  <si>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</si>
  <si>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</si>
  <si>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</si>
  <si>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</si>
  <si>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</si>
  <si>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</si>
  <si>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</si>
  <si>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</si>
  <si>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</si>
  <si>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</si>
  <si>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</si>
  <si>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</si>
  <si>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</si>
  <si>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</si>
  <si>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</si>
  <si>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</si>
  <si>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</si>
  <si>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</si>
  <si>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</si>
  <si>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</si>
  <si>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</si>
  <si>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</si>
  <si>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</si>
  <si>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</si>
  <si>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</si>
  <si>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</si>
  <si>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</si>
  <si>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</si>
  <si>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</si>
  <si>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</si>
  <si>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</si>
  <si>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</si>
  <si>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</si>
  <si>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</si>
  <si>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</si>
  <si>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</si>
  <si>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</si>
  <si>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</si>
  <si>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</si>
  <si>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</si>
  <si>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</si>
  <si>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</si>
  <si>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</si>
  <si>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</si>
  <si>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</si>
  <si>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</si>
  <si>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</si>
  <si>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</si>
  <si>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</si>
  <si>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</si>
  <si>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</si>
  <si>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</si>
  <si>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</si>
  <si>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</si>
  <si>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</si>
  <si>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</si>
  <si>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</si>
  <si>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</si>
  <si>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</si>
  <si>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</si>
  <si>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</si>
  <si>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</si>
  <si>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</si>
  <si>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</si>
  <si>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</si>
  <si>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</si>
  <si>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</si>
  <si>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</si>
  <si>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</si>
  <si>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</si>
  <si>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</si>
  <si>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</si>
  <si>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</si>
  <si>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</si>
  <si>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</si>
  <si>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</si>
  <si>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</si>
  <si>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</si>
  <si>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</si>
  <si>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</si>
  <si>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</si>
  <si>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</si>
  <si>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</si>
  <si>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</si>
  <si>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</si>
  <si>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</si>
  <si>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</si>
  <si>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</si>
  <si>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</si>
  <si>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</si>
  <si>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</si>
  <si>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</si>
  <si>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</si>
  <si>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</si>
  <si>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</si>
  <si>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</si>
  <si>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</si>
  <si>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</si>
  <si>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</si>
  <si>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</si>
  <si>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</si>
  <si>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</si>
  <si>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</si>
  <si>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</si>
  <si>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</si>
  <si>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</si>
  <si>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</si>
  <si>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</si>
  <si>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</si>
  <si>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</si>
  <si>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</si>
  <si>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</si>
  <si>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</si>
  <si>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</si>
  <si>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</si>
  <si>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</si>
  <si>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</si>
  <si>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</si>
  <si>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</si>
  <si>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</si>
  <si>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</si>
  <si>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</si>
  <si>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</si>
  <si>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</si>
  <si>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</si>
  <si>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</si>
  <si>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</si>
  <si>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</si>
  <si>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</si>
  <si>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</si>
  <si>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</si>
  <si>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</si>
  <si>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</si>
  <si>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</si>
  <si>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</si>
  <si>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</si>
  <si>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</si>
  <si>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</si>
  <si>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</si>
  <si>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</si>
  <si>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</si>
  <si>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</si>
  <si>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</si>
  <si>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</si>
  <si>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</si>
  <si>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</si>
  <si>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</si>
  <si>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</si>
  <si>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</si>
  <si>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</si>
  <si>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</si>
  <si>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</si>
  <si>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</si>
  <si>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</si>
  <si>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</si>
  <si>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</si>
  <si>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</si>
  <si>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</si>
  <si>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</si>
  <si>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</si>
  <si>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</si>
  <si>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</si>
  <si>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</si>
  <si>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</si>
  <si>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</si>
  <si>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</si>
  <si>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</si>
  <si>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</si>
  <si>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</si>
  <si>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</si>
  <si>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</si>
  <si>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</si>
  <si>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</si>
  <si>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</si>
  <si>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</si>
  <si>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</si>
  <si>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</si>
  <si>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</si>
  <si>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</si>
  <si>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</si>
  <si>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</si>
  <si>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</si>
  <si>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</si>
  <si>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</si>
  <si>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</si>
  <si>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</si>
  <si>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</si>
  <si>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</si>
  <si>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</si>
  <si>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</si>
  <si>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</si>
  <si>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</si>
  <si>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</si>
  <si>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</si>
  <si>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</si>
  <si>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</si>
  <si>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</si>
  <si>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</si>
  <si>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</si>
  <si>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</si>
  <si>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</si>
  <si>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</si>
  <si>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</si>
  <si>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</si>
  <si>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</si>
  <si>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</si>
  <si>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</si>
  <si>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</si>
  <si>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</si>
  <si>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</si>
  <si>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</si>
  <si>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</si>
  <si>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</si>
  <si>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</si>
  <si>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</si>
  <si>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</si>
  <si>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</si>
  <si>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</si>
  <si>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</si>
  <si>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</si>
  <si>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</si>
  <si>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</si>
  <si>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</si>
  <si>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</si>
  <si>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</si>
  <si>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</si>
  <si>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</si>
  <si>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</si>
  <si>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</si>
  <si>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</si>
  <si>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</si>
  <si>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</si>
  <si>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</si>
  <si>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</si>
  <si>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</si>
  <si>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</si>
  <si>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</si>
  <si>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</si>
  <si>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</si>
  <si>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</si>
  <si>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</si>
  <si>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</si>
  <si>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</si>
  <si>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</si>
  <si>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</si>
  <si>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</si>
  <si>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</si>
  <si>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</si>
  <si>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</si>
  <si>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</si>
  <si>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</si>
  <si>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</si>
  <si>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</si>
  <si>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</si>
  <si>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</si>
  <si>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</si>
  <si>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</si>
  <si>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</si>
  <si>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</si>
  <si>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</si>
  <si>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</si>
  <si>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</si>
  <si>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</si>
  <si>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</si>
  <si>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</si>
  <si>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</si>
  <si>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</si>
  <si>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</si>
  <si>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</si>
  <si>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</si>
  <si>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</si>
  <si>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</si>
  <si>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</si>
  <si>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</si>
  <si>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</si>
  <si>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</si>
  <si>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</si>
  <si>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</si>
  <si>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</si>
  <si>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</si>
  <si>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</si>
  <si>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</si>
  <si>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</si>
  <si>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</si>
  <si>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</si>
  <si>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</si>
  <si>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</si>
  <si>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</si>
  <si>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</si>
  <si>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</si>
  <si>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</si>
  <si>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</si>
  <si>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</si>
  <si>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</si>
  <si>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</si>
  <si>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</si>
  <si>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</si>
  <si>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</si>
  <si>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</si>
  <si>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</si>
  <si>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</si>
  <si>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</si>
  <si>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</si>
  <si>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</si>
  <si>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</si>
  <si>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</si>
  <si>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</si>
  <si>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</si>
  <si>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</si>
  <si>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</si>
  <si>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</si>
  <si>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</si>
  <si>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</si>
  <si>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</si>
  <si>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</si>
  <si>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</si>
  <si>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</si>
  <si>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</si>
  <si>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</si>
  <si>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</si>
  <si>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</si>
  <si>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</si>
  <si>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</si>
  <si>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</si>
  <si>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</si>
  <si>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</si>
  <si>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</si>
  <si>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</si>
  <si>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</si>
  <si>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</si>
  <si>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</si>
  <si>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</si>
  <si>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</si>
  <si>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</si>
  <si>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</si>
  <si>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</si>
  <si>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</si>
  <si>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</si>
  <si>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</si>
  <si>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</si>
  <si>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</si>
  <si>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</si>
  <si>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</si>
  <si>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</si>
  <si>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</si>
  <si>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</si>
  <si>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</si>
  <si>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</si>
  <si>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</si>
  <si>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</si>
  <si>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</si>
  <si>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</si>
  <si>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</si>
  <si>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</si>
  <si>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</si>
  <si>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</si>
  <si>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</si>
  <si>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</si>
  <si>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</si>
  <si>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</si>
  <si>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</si>
  <si>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</si>
  <si>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</si>
  <si>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</si>
  <si>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</si>
  <si>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</si>
  <si>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</si>
  <si>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</si>
  <si>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</si>
  <si>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</si>
  <si>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</si>
  <si>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</si>
  <si>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</si>
  <si>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</si>
  <si>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</si>
  <si>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</si>
  <si>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</si>
  <si>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</si>
  <si>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</si>
  <si>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</si>
  <si>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</si>
  <si>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</si>
  <si>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</si>
  <si>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</si>
  <si>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</si>
  <si>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</si>
  <si>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</si>
  <si>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</si>
  <si>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</si>
  <si>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</si>
  <si>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</si>
  <si>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</si>
  <si>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</si>
  <si>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</si>
  <si>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</si>
  <si>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</si>
  <si>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</si>
  <si>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</si>
  <si>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</si>
  <si>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</si>
  <si>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</si>
  <si>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</si>
  <si>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</si>
  <si>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</si>
  <si>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</si>
  <si>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</si>
  <si>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</si>
  <si>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</si>
  <si>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</si>
  <si>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</si>
  <si>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</si>
  <si>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</si>
  <si>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</si>
  <si>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</si>
  <si>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</si>
  <si>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</si>
  <si>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</si>
  <si>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</si>
  <si>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</si>
  <si>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</si>
  <si>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</si>
  <si>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</si>
  <si>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</si>
  <si>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</si>
  <si>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</si>
  <si>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</si>
  <si>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</si>
  <si>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</si>
  <si>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</si>
  <si>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</si>
  <si>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</si>
  <si>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</si>
  <si>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</si>
  <si>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</si>
  <si>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</si>
  <si>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</si>
  <si>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</si>
  <si>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</si>
  <si>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</si>
  <si>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</si>
  <si>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</si>
  <si>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</si>
  <si>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</si>
  <si>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</si>
  <si>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</si>
  <si>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</si>
  <si>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</si>
  <si>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</si>
  <si>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</si>
  <si>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</si>
  <si>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</si>
  <si>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</si>
  <si>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</si>
  <si>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</si>
  <si>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</si>
  <si>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</si>
  <si>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</si>
  <si>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</si>
  <si>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</si>
  <si>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</si>
  <si>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</si>
  <si>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</si>
  <si>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</si>
  <si>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</si>
  <si>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</si>
  <si>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</si>
  <si>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</si>
  <si>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</si>
  <si>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</si>
  <si>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</si>
  <si>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</si>
  <si>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</si>
  <si>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</si>
  <si>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</si>
  <si>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</si>
  <si>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</si>
  <si>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</si>
  <si>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</si>
  <si>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</si>
  <si>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</si>
  <si>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</si>
  <si>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</si>
  <si>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</si>
  <si>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</si>
  <si>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</si>
  <si>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</si>
  <si>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</si>
  <si>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</si>
  <si>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</si>
  <si>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</si>
  <si>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</si>
  <si>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</si>
  <si>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</si>
  <si>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</si>
  <si>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</si>
  <si>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</si>
  <si>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</si>
  <si>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</si>
  <si>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</si>
  <si>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</si>
  <si>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</si>
  <si>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</si>
  <si>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</si>
  <si>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</si>
  <si>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</si>
  <si>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</si>
  <si>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</si>
  <si>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</si>
  <si>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</si>
  <si>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</si>
  <si>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</si>
  <si>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</si>
  <si>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</si>
  <si>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</si>
  <si>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</si>
  <si>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</si>
  <si>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</si>
  <si>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</si>
  <si>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</si>
  <si>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</si>
  <si>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</si>
  <si>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</si>
  <si>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</si>
  <si>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</si>
  <si>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</si>
  <si>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</si>
  <si>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</si>
  <si>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</si>
  <si>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</si>
  <si>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</si>
  <si>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</si>
  <si>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</si>
  <si>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</si>
  <si>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</si>
  <si>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</si>
  <si>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</si>
  <si>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</si>
  <si>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</si>
  <si>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</si>
  <si>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</si>
  <si>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</si>
  <si>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</si>
  <si>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</si>
  <si>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</si>
  <si>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</si>
  <si>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</si>
  <si>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</si>
  <si>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</si>
  <si>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</si>
  <si>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</si>
  <si>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</si>
  <si>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</si>
  <si>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</si>
  <si>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</si>
  <si>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</si>
  <si>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</si>
  <si>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</si>
  <si>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</si>
  <si>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</si>
  <si>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</si>
  <si>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</si>
  <si>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</si>
  <si>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</si>
  <si>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</si>
  <si>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</si>
  <si>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</si>
  <si>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</si>
  <si>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</si>
  <si>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</si>
  <si>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</si>
  <si>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</si>
  <si>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</si>
  <si>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</si>
  <si>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</si>
  <si>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</si>
  <si>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</si>
  <si>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</si>
  <si>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</si>
  <si>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</si>
  <si>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</si>
  <si>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</si>
  <si>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</si>
  <si>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</si>
  <si>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</si>
  <si>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</si>
  <si>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</si>
  <si>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</si>
  <si>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</si>
  <si>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</si>
  <si>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</si>
  <si>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</si>
  <si>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</si>
  <si>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</si>
  <si>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</si>
  <si>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</si>
  <si>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</si>
  <si>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</si>
  <si>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</si>
  <si>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</si>
  <si>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</si>
  <si>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</si>
  <si>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</si>
  <si>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</si>
  <si>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</si>
  <si>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</si>
  <si>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</si>
  <si>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</si>
  <si>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</si>
  <si>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</si>
  <si>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</si>
  <si>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</si>
  <si>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</si>
  <si>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</si>
  <si>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</si>
  <si>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</si>
  <si>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</si>
  <si>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</si>
  <si>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</si>
  <si>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</si>
  <si>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</si>
  <si>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</si>
  <si>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</si>
  <si>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</si>
  <si>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</si>
  <si>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</si>
  <si>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</si>
  <si>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</si>
  <si>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</si>
  <si>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</si>
  <si>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</si>
  <si>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</si>
  <si>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</si>
  <si>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</si>
  <si>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</si>
  <si>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</si>
  <si>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</si>
  <si>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</si>
  <si>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</si>
  <si>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</si>
  <si>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</si>
  <si>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</si>
  <si>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</si>
  <si>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</si>
  <si>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</si>
  <si>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</si>
  <si>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</si>
  <si>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</si>
  <si>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</si>
  <si>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</si>
  <si>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</si>
  <si>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</si>
  <si>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</si>
  <si>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</si>
  <si>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</si>
  <si>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</si>
  <si>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</si>
  <si>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</si>
  <si>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</si>
  <si>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</si>
  <si>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</si>
  <si>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</si>
  <si>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</si>
  <si>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</si>
  <si>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</si>
  <si>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</si>
  <si>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</si>
  <si>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</si>
  <si>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</si>
  <si>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</si>
  <si>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</si>
  <si>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</si>
  <si>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</si>
  <si>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</si>
  <si>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</si>
  <si>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</si>
  <si>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</si>
  <si>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</si>
  <si>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</si>
  <si>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</si>
  <si>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</si>
  <si>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</si>
  <si>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</si>
  <si>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</si>
  <si>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</si>
  <si>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</si>
  <si>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</si>
  <si>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</si>
  <si>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</si>
  <si>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</si>
  <si>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</si>
  <si>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</si>
  <si>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</si>
  <si>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</si>
  <si>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</si>
  <si>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</si>
  <si>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</si>
  <si>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</si>
  <si>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</si>
  <si>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</si>
  <si>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</si>
  <si>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</si>
  <si>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</si>
  <si>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</si>
  <si>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</si>
  <si>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</si>
  <si>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</si>
  <si>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</si>
  <si>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</si>
  <si>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</si>
  <si>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</si>
  <si>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</si>
  <si>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</si>
  <si>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</si>
  <si>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</si>
  <si>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</si>
  <si>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</si>
  <si>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</si>
  <si>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</si>
  <si>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</si>
  <si>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</si>
  <si>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</si>
  <si>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</si>
  <si>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</si>
  <si>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</si>
  <si>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</si>
  <si>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</si>
  <si>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</si>
  <si>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</si>
  <si>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</si>
  <si>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</si>
  <si>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</si>
  <si>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</si>
  <si>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</si>
  <si>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</si>
  <si>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</si>
  <si>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</si>
  <si>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</si>
  <si>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</si>
  <si>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</si>
  <si>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</si>
  <si>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</si>
  <si>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</si>
  <si>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</si>
  <si>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</si>
  <si>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</si>
  <si>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</si>
  <si>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</si>
  <si>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</si>
  <si>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</si>
  <si>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</si>
  <si>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</si>
  <si>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</si>
  <si>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</si>
  <si>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</si>
  <si>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</si>
  <si>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</si>
  <si>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</si>
  <si>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</si>
  <si>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</si>
  <si>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</si>
  <si>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</si>
  <si>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</si>
  <si>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</si>
  <si>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</si>
  <si>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</si>
  <si>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</si>
  <si>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</si>
  <si>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</si>
  <si>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</si>
  <si>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</si>
  <si>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</si>
  <si>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</si>
  <si>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</si>
  <si>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</si>
  <si>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</si>
  <si>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</si>
  <si>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</si>
  <si>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</si>
  <si>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</si>
  <si>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</si>
  <si>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</si>
  <si>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</si>
  <si>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</si>
  <si>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</si>
  <si>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</si>
  <si>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</si>
  <si>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</si>
  <si>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</si>
  <si>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</si>
  <si>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</si>
  <si>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</si>
  <si>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</si>
  <si>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</si>
  <si>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</si>
  <si>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</si>
  <si>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</si>
  <si>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</si>
  <si>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</si>
  <si>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</si>
  <si>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</si>
  <si>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</si>
  <si>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</si>
  <si>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</si>
  <si>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</si>
  <si>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</si>
  <si>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</si>
  <si>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</si>
  <si>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</si>
  <si>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</si>
  <si>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</si>
  <si>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</si>
  <si>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</si>
  <si>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</si>
  <si>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</si>
  <si>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</si>
  <si>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</si>
  <si>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</si>
  <si>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</si>
  <si>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</si>
  <si>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</si>
  <si>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</si>
  <si>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</si>
  <si>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</si>
  <si>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</si>
  <si>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</si>
  <si>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</si>
  <si>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</si>
  <si>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</si>
  <si>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</si>
  <si>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</si>
  <si>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</si>
  <si>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</si>
  <si>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</si>
  <si>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</si>
  <si>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</si>
  <si>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</si>
  <si>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</si>
  <si>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</si>
  <si>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</si>
  <si>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</si>
  <si>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</si>
  <si>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</si>
  <si>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</si>
  <si>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</si>
  <si>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</si>
  <si>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</si>
  <si>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</si>
  <si>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</si>
  <si>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</si>
  <si>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</si>
  <si>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</si>
  <si>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</si>
  <si>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</si>
  <si>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</si>
  <si>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</si>
  <si>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</si>
  <si>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</si>
  <si>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</si>
  <si>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</si>
  <si>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</si>
  <si>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</si>
  <si>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</si>
  <si>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</si>
  <si>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</si>
  <si>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</si>
  <si>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</si>
  <si>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</si>
  <si>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</si>
  <si>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</si>
  <si>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</si>
  <si>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</si>
  <si>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</si>
  <si>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</si>
  <si>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</si>
  <si>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</si>
  <si>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</si>
  <si>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</si>
  <si>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</si>
  <si>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</si>
  <si>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</si>
  <si>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</si>
  <si>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</si>
  <si>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</si>
  <si>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</si>
  <si>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</si>
  <si>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</si>
  <si>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</si>
  <si>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</si>
  <si>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</si>
  <si>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</si>
  <si>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</si>
  <si>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</si>
  <si>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</si>
  <si>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</si>
  <si>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</si>
  <si>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</si>
  <si>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</si>
  <si>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</si>
  <si>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</si>
  <si>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</si>
  <si>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</si>
  <si>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</si>
  <si>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</si>
  <si>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</si>
  <si>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</si>
  <si>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</si>
  <si>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</si>
  <si>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</si>
  <si>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</si>
  <si>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</si>
  <si>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</si>
  <si>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</si>
  <si>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</si>
  <si>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</si>
  <si>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</si>
  <si>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</si>
  <si>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</si>
  <si>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</si>
  <si>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</si>
  <si>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</si>
  <si>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</si>
  <si>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</si>
  <si>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</si>
  <si>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</si>
  <si>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</si>
  <si>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</si>
  <si>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</si>
  <si>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</si>
  <si>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</si>
  <si>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</si>
  <si>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</si>
  <si>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</si>
  <si>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</si>
  <si>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</si>
  <si>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</si>
  <si>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</si>
  <si>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</si>
  <si>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</si>
  <si>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</si>
  <si>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</si>
  <si>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</si>
  <si>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</si>
  <si>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</si>
  <si>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</si>
  <si>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</si>
  <si>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</si>
  <si>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</si>
  <si>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</si>
  <si>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</si>
  <si>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</si>
  <si>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</si>
  <si>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</si>
  <si>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</si>
  <si>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</si>
  <si>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</si>
  <si>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</si>
  <si>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</si>
  <si>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</si>
  <si>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</si>
  <si>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</si>
  <si>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</si>
  <si>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</si>
  <si>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</si>
  <si>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</si>
  <si>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</si>
  <si>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</si>
  <si>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</si>
  <si>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</si>
  <si>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</si>
  <si>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</si>
  <si>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</si>
  <si>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</si>
  <si>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</si>
  <si>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</si>
  <si>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</si>
  <si>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</si>
  <si>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</si>
  <si>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</si>
  <si>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</si>
  <si>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</si>
  <si>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</si>
  <si>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</si>
  <si>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</si>
  <si>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</si>
  <si>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</si>
  <si>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</si>
  <si>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</si>
  <si>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</si>
  <si>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</si>
  <si>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</si>
  <si>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</si>
  <si>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</si>
  <si>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</si>
  <si>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</si>
  <si>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</si>
  <si>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</si>
  <si>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</si>
  <si>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</si>
  <si>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</si>
  <si>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</si>
  <si>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</si>
  <si>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</si>
  <si>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</si>
  <si>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</si>
  <si>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</si>
  <si>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</si>
  <si>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</si>
  <si>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</si>
  <si>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</si>
  <si>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</si>
  <si>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</si>
  <si>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</si>
  <si>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</si>
  <si>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</si>
  <si>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</si>
  <si>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</si>
  <si>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</si>
  <si>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</si>
  <si>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</si>
  <si>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</si>
  <si>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</si>
  <si>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</si>
  <si>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</si>
  <si>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</si>
  <si>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</si>
  <si>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</si>
  <si>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</si>
  <si>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</si>
  <si>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</si>
  <si>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</si>
  <si>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</si>
  <si>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</si>
  <si>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</si>
  <si>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</si>
  <si>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</si>
  <si>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</si>
  <si>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</si>
  <si>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</si>
  <si>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</si>
  <si>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</si>
  <si>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</si>
  <si>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</si>
  <si>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</si>
  <si>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</si>
  <si>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</si>
  <si>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</si>
  <si>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</si>
  <si>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</si>
  <si>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</si>
  <si>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</si>
  <si>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</si>
  <si>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</si>
  <si>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</si>
  <si>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</si>
  <si>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</si>
  <si>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</si>
  <si>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</si>
  <si>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</si>
  <si>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</si>
  <si>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</si>
  <si>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</si>
  <si>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</si>
  <si>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</si>
  <si>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</si>
  <si>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</si>
  <si>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</si>
  <si>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</si>
  <si>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</si>
  <si>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</si>
  <si>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</si>
  <si>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</si>
  <si>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</si>
  <si>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</si>
  <si>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</si>
  <si>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</si>
  <si>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</si>
  <si>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</si>
  <si>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</si>
  <si>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</si>
  <si>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</si>
  <si>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</si>
  <si>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</si>
  <si>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</si>
  <si>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</si>
  <si>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</si>
  <si>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</si>
  <si>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</si>
  <si>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</si>
  <si>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</si>
  <si>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</si>
  <si>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</si>
  <si>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</si>
  <si>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</si>
  <si>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</si>
  <si>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</si>
  <si>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</si>
  <si>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</si>
  <si>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</si>
  <si>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</si>
  <si>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</si>
  <si>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</si>
  <si>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</si>
  <si>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</si>
  <si>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</si>
  <si>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</si>
  <si>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</si>
  <si>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</si>
  <si>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</si>
  <si>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</si>
  <si>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</si>
  <si>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</si>
  <si>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</si>
  <si>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</si>
  <si>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</si>
  <si>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</si>
  <si>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</si>
  <si>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</si>
  <si>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</si>
  <si>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</si>
  <si>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</si>
  <si>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</si>
  <si>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</si>
  <si>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</si>
  <si>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</si>
  <si>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</si>
  <si>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</si>
  <si>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</si>
  <si>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</si>
  <si>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</si>
  <si>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</si>
  <si>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</si>
  <si>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</si>
  <si>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</si>
  <si>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</si>
  <si>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</si>
  <si>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</si>
  <si>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</si>
  <si>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</si>
  <si>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</si>
  <si>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</si>
  <si>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</si>
  <si>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</si>
  <si>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</si>
  <si>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</si>
  <si>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</si>
  <si>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</si>
  <si>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</si>
  <si>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</si>
  <si>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</si>
  <si>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</si>
  <si>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</si>
  <si>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</si>
  <si>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</si>
  <si>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</si>
  <si>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</si>
  <si>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</si>
  <si>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</si>
  <si>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</si>
  <si>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</si>
  <si>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</si>
  <si>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</si>
  <si>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</si>
  <si>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</si>
  <si>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</si>
  <si>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</si>
  <si>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</si>
  <si>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</si>
  <si>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</si>
  <si>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</si>
  <si>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</si>
  <si>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</si>
  <si>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</si>
  <si>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</si>
  <si>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</si>
  <si>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</si>
  <si>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</si>
  <si>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</si>
  <si>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</si>
  <si>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</si>
  <si>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</si>
  <si>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</si>
  <si>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</si>
  <si>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</si>
  <si>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</si>
  <si>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</si>
  <si>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</si>
  <si>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</si>
  <si>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</si>
  <si>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</si>
  <si>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</si>
  <si>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</si>
  <si>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</si>
  <si>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</si>
  <si>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</si>
  <si>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</si>
  <si>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</si>
  <si>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</si>
  <si>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</si>
  <si>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</si>
  <si>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</si>
  <si>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</si>
  <si>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</si>
  <si>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</si>
  <si>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</si>
  <si>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</si>
  <si>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</si>
  <si>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</si>
  <si>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</si>
  <si>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</si>
  <si>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</si>
  <si>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</si>
  <si>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</si>
  <si>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</si>
  <si>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</si>
  <si>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</si>
  <si>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</si>
  <si>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</si>
  <si>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</si>
  <si>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</si>
  <si>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</si>
  <si>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</si>
  <si>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</si>
  <si>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</si>
  <si>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</si>
  <si>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</si>
  <si>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</si>
  <si>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</si>
  <si>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</si>
  <si>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</si>
  <si>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</si>
  <si>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</si>
  <si>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</si>
  <si>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</si>
  <si>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</si>
  <si>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</si>
  <si>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</si>
  <si>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</si>
  <si>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</si>
  <si>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</si>
  <si>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</si>
  <si>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</si>
  <si>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</si>
  <si>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</si>
  <si>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</si>
  <si>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</si>
  <si>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</si>
  <si>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</si>
  <si>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</si>
  <si>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</si>
  <si>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</si>
  <si>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</si>
  <si>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</si>
  <si>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</si>
  <si>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</si>
  <si>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</si>
  <si>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</si>
  <si>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</si>
  <si>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</si>
  <si>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</si>
  <si>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</si>
  <si>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</si>
  <si>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</si>
  <si>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</si>
  <si>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</si>
  <si>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</si>
  <si>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</si>
  <si>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</si>
  <si>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</si>
  <si>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</si>
  <si>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</si>
  <si>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</si>
  <si>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</si>
  <si>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</si>
  <si>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</si>
  <si>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</si>
  <si>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</si>
  <si>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</si>
  <si>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</si>
  <si>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</si>
  <si>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</si>
  <si>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</si>
  <si>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</si>
  <si>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</si>
  <si>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</si>
  <si>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</si>
  <si>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</si>
  <si>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</si>
  <si>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</si>
  <si>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</si>
  <si>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</si>
  <si>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</si>
  <si>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</si>
  <si>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</si>
  <si>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</si>
  <si>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</si>
  <si>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</si>
  <si>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</si>
  <si>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</si>
  <si>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</si>
  <si>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</si>
  <si>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</si>
  <si>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</si>
  <si>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</si>
  <si>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</si>
  <si>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</si>
  <si>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</si>
  <si>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</si>
  <si>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</si>
  <si>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</si>
  <si>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</si>
  <si>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</si>
  <si>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</si>
  <si>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</si>
  <si>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</si>
  <si>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</si>
  <si>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</si>
  <si>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</si>
  <si>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</si>
  <si>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</si>
  <si>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</si>
  <si>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</si>
  <si>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</si>
  <si>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</si>
  <si>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</si>
  <si>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</si>
  <si>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</si>
  <si>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</si>
  <si>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</si>
  <si>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</si>
  <si>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</si>
  <si>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</si>
  <si>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</si>
  <si>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</si>
  <si>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</si>
  <si>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</si>
  <si>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</si>
  <si>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</si>
  <si>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</si>
  <si>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</si>
  <si>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</si>
  <si>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</si>
  <si>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</si>
  <si>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</si>
  <si>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</si>
  <si>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</si>
  <si>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</si>
  <si>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</si>
  <si>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</si>
  <si>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</si>
  <si>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</si>
  <si>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</si>
  <si>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</si>
  <si>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</si>
  <si>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</si>
  <si>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</si>
  <si>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</si>
  <si>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</si>
  <si>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</si>
  <si>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</si>
  <si>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</si>
  <si>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</si>
  <si>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</si>
  <si>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</si>
  <si>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</si>
  <si>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</si>
  <si>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</si>
  <si>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</si>
  <si>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</si>
  <si>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</si>
  <si>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</si>
  <si>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</si>
  <si>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</si>
  <si>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</si>
  <si>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</si>
  <si>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</si>
  <si>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</si>
  <si>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</si>
  <si>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</si>
  <si>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</si>
  <si>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</si>
  <si>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</si>
  <si>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</si>
  <si>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</si>
  <si>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</si>
  <si>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</si>
  <si>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</si>
  <si>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</si>
  <si>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</si>
  <si>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</si>
  <si>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</si>
  <si>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</si>
  <si>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</si>
  <si>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</si>
  <si>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</si>
  <si>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</si>
  <si>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</si>
  <si>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</si>
  <si>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</si>
  <si>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</si>
  <si>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</si>
  <si>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</si>
  <si>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</si>
  <si>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</si>
  <si>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</si>
  <si>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</si>
  <si>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</si>
  <si>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</si>
  <si>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</si>
  <si>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</si>
  <si>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</si>
  <si>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</si>
  <si>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</si>
  <si>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</si>
  <si>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</si>
  <si>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</si>
  <si>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</si>
  <si>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</si>
  <si>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</si>
  <si>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</si>
  <si>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</si>
  <si>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</si>
  <si>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</si>
  <si>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</si>
  <si>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</si>
  <si>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</si>
  <si>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</si>
  <si>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</si>
  <si>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</si>
  <si>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</si>
  <si>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</si>
  <si>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</si>
  <si>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</si>
  <si>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</si>
  <si>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</si>
  <si>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</si>
  <si>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</si>
  <si>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</si>
  <si>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</si>
  <si>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</si>
  <si>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</si>
  <si>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</si>
  <si>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</si>
  <si>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</si>
  <si>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</si>
  <si>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</si>
  <si>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</si>
  <si>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</si>
  <si>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</si>
  <si>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</si>
  <si>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</si>
  <si>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</si>
  <si>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</si>
  <si>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</si>
  <si>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</si>
  <si>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</si>
  <si>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</si>
  <si>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</si>
  <si>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</si>
  <si>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</si>
  <si>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</si>
  <si>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</si>
  <si>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</si>
  <si>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</si>
  <si>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</si>
  <si>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</si>
  <si>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</si>
  <si>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</si>
  <si>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</si>
  <si>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</si>
  <si>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</si>
  <si>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</si>
  <si>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</si>
  <si>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</si>
  <si>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</si>
  <si>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</si>
  <si>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</si>
  <si>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</si>
  <si>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</si>
  <si>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</si>
  <si>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</si>
  <si>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</si>
  <si>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</si>
  <si>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</si>
  <si>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</si>
  <si>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</si>
  <si>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</si>
  <si>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</si>
  <si>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</si>
  <si>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</si>
  <si>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</si>
  <si>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</si>
  <si>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</si>
  <si>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</si>
  <si>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</si>
  <si>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</si>
  <si>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</si>
  <si>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</si>
  <si>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</si>
  <si>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</si>
  <si>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</si>
  <si>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</si>
  <si>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</si>
  <si>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</si>
  <si>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</si>
  <si>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</si>
  <si>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</si>
  <si>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</si>
  <si>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</si>
  <si>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</si>
  <si>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</si>
  <si>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</si>
  <si>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</si>
  <si>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</si>
  <si>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</si>
  <si>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</si>
  <si>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</si>
  <si>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</si>
  <si>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</si>
  <si>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</si>
  <si>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</si>
  <si>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</si>
  <si>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</si>
  <si>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</si>
  <si>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</si>
  <si>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</si>
  <si>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</si>
  <si>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</si>
  <si>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</si>
  <si>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</si>
  <si>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</si>
  <si>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</si>
  <si>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</si>
  <si>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</si>
  <si>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</si>
  <si>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</si>
  <si>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</si>
  <si>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</si>
  <si>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</si>
  <si>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</si>
  <si>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</si>
  <si>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</si>
  <si>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</si>
  <si>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</si>
  <si>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</si>
  <si>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</si>
  <si>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</si>
  <si>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</si>
  <si>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</si>
  <si>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</si>
  <si>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</si>
  <si>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</si>
  <si>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</si>
  <si>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</si>
  <si>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</si>
  <si>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</si>
  <si>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</si>
  <si>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</si>
  <si>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</si>
  <si>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</si>
  <si>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</si>
  <si>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</si>
  <si>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</si>
  <si>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</si>
  <si>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</si>
  <si>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</si>
  <si>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</si>
  <si>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</si>
  <si>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</si>
  <si>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</si>
  <si>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</si>
  <si>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</si>
  <si>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</si>
  <si>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</si>
  <si>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</si>
  <si>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</si>
  <si>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</si>
  <si>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</si>
  <si>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</si>
  <si>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</si>
  <si>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</si>
  <si>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</si>
  <si>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</si>
  <si>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</si>
  <si>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</si>
  <si>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</si>
  <si>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</si>
  <si>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</si>
  <si>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</si>
  <si>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</si>
  <si>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</si>
  <si>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</si>
  <si>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</si>
  <si>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</si>
  <si>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</si>
  <si>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</si>
  <si>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</si>
  <si>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</si>
  <si>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</si>
  <si>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</si>
  <si>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</si>
  <si>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</si>
  <si>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</si>
  <si>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</si>
  <si>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</si>
  <si>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</si>
  <si>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</si>
  <si>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</si>
  <si>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</si>
  <si>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</si>
  <si>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</si>
  <si>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</si>
  <si>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</si>
  <si>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</si>
  <si>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</si>
  <si>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</si>
  <si>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</si>
  <si>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</si>
  <si>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</si>
  <si>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</si>
  <si>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</si>
  <si>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</si>
  <si>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</si>
  <si>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</si>
  <si>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</si>
  <si>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</si>
  <si>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</si>
  <si>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</si>
  <si>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</si>
  <si>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</si>
  <si>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</si>
  <si>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</si>
  <si>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</si>
  <si>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</si>
  <si>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</si>
  <si>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</si>
  <si>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</si>
  <si>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</si>
  <si>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</si>
  <si>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</si>
  <si>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</si>
  <si>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</si>
  <si>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</si>
  <si>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</si>
  <si>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</si>
  <si>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</si>
  <si>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</si>
  <si>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</si>
  <si>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</si>
  <si>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</si>
  <si>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</si>
  <si>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</si>
  <si>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</si>
  <si>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</si>
  <si>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</si>
  <si>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</si>
  <si>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</si>
  <si>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</si>
  <si>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</si>
  <si>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</si>
  <si>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</si>
  <si>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</si>
  <si>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</si>
  <si>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</si>
  <si>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</si>
  <si>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</si>
  <si>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</si>
  <si>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</si>
  <si>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</si>
  <si>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</si>
  <si>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</si>
  <si>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</si>
  <si>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</si>
  <si>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</si>
  <si>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</si>
  <si>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</si>
  <si>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</si>
  <si>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</si>
  <si>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</si>
  <si>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</si>
  <si>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</si>
  <si>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</si>
  <si>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</si>
  <si>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</si>
  <si>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</si>
  <si>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</si>
  <si>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</si>
  <si>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</si>
  <si>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</si>
  <si>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</si>
  <si>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</si>
  <si>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</si>
  <si>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</si>
  <si>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</si>
  <si>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</si>
  <si>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</si>
  <si>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</si>
  <si>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</si>
  <si>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</si>
  <si>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</si>
  <si>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</si>
  <si>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</si>
  <si>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</si>
  <si>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</si>
  <si>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</si>
  <si>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</si>
  <si>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</si>
  <si>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</si>
  <si>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</si>
  <si>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</si>
  <si>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</si>
  <si>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</si>
  <si>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</si>
  <si>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</si>
  <si>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</si>
  <si>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</si>
  <si>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</si>
  <si>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</si>
  <si>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</si>
  <si>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</si>
  <si>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</si>
  <si>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</si>
  <si>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</si>
  <si>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</si>
  <si>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</si>
  <si>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</si>
  <si>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</si>
  <si>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</si>
  <si>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</si>
  <si>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</si>
  <si>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</si>
  <si>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</si>
  <si>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</si>
  <si>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</si>
  <si>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</si>
  <si>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</si>
  <si>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</si>
  <si>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</si>
  <si>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</si>
  <si>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</si>
  <si>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</si>
  <si>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</si>
  <si>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</si>
  <si>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</si>
  <si>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</si>
  <si>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</si>
  <si>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</si>
  <si>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</si>
  <si>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</si>
  <si>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</si>
  <si>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</si>
  <si>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</si>
  <si>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</si>
  <si>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</si>
  <si>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</si>
  <si>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</si>
  <si>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</si>
  <si>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</si>
  <si>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</si>
  <si>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</si>
  <si>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</si>
  <si>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</si>
  <si>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</si>
  <si>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</si>
  <si>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</si>
  <si>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</si>
  <si>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</si>
  <si>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</si>
  <si>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</si>
  <si>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</si>
  <si>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</si>
  <si>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</si>
  <si>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</si>
  <si>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</si>
  <si>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</si>
  <si>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</si>
  <si>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</si>
  <si>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</si>
  <si>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</si>
  <si>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</si>
  <si>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</si>
  <si>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</si>
  <si>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</si>
  <si>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</si>
  <si>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</si>
  <si>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</si>
  <si>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</si>
  <si>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</si>
  <si>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</si>
  <si>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</si>
  <si>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</si>
  <si>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</si>
  <si>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</si>
  <si>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</si>
  <si>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</si>
  <si>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</si>
  <si>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</si>
  <si>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</si>
  <si>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</si>
  <si>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</si>
  <si>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</si>
  <si>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</si>
  <si>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</si>
  <si>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</si>
  <si>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</si>
  <si>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</si>
  <si>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</si>
  <si>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</si>
  <si>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</si>
  <si>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</si>
  <si>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</si>
  <si>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</si>
  <si>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</si>
  <si>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</si>
  <si>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</si>
  <si>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</si>
  <si>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</si>
  <si>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</si>
  <si>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</si>
  <si>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</si>
  <si>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</si>
  <si>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</si>
  <si>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</si>
  <si>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</si>
  <si>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</si>
  <si>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</si>
  <si>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</si>
  <si>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</si>
  <si>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</si>
  <si>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</si>
  <si>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</si>
  <si>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</si>
  <si>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</si>
  <si>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</si>
  <si>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</si>
  <si>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</si>
  <si>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</si>
  <si>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</si>
  <si>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</si>
  <si>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</si>
  <si>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</si>
  <si>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</si>
  <si>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</si>
  <si>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</si>
  <si>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</si>
  <si>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</si>
  <si>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</si>
  <si>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</si>
  <si>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</si>
  <si>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</si>
  <si>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</si>
  <si>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</si>
  <si>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</si>
  <si>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</si>
  <si>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</si>
  <si>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</si>
  <si>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</si>
  <si>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</si>
  <si>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</si>
  <si>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</si>
  <si>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</si>
  <si>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</si>
  <si>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</si>
  <si>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</si>
  <si>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</si>
  <si>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</si>
  <si>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</si>
  <si>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</si>
  <si>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</si>
  <si>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</si>
  <si>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</si>
  <si>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</si>
  <si>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</si>
  <si>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</si>
  <si>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</si>
  <si>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</si>
  <si>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</si>
  <si>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</si>
  <si>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</si>
  <si>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</si>
  <si>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</si>
  <si>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</si>
  <si>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</si>
  <si>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</si>
  <si>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</si>
  <si>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</si>
  <si>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</si>
  <si>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</si>
  <si>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</si>
  <si>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</si>
  <si>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</si>
  <si>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</si>
  <si>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</si>
  <si>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</si>
  <si>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</si>
  <si>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</si>
  <si>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</si>
  <si>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</si>
  <si>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</si>
  <si>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</si>
  <si>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</si>
  <si>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</si>
  <si>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</si>
  <si>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</si>
  <si>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</si>
  <si>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</si>
  <si>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</si>
  <si>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</si>
  <si>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</si>
  <si>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</si>
  <si>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</si>
  <si>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</si>
  <si>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</si>
  <si>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</si>
  <si>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</si>
  <si>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</si>
  <si>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</si>
  <si>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</si>
  <si>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</si>
  <si>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</si>
  <si>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</si>
  <si>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</si>
  <si>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</si>
  <si>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</si>
  <si>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</si>
  <si>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</si>
  <si>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</si>
  <si>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</si>
  <si>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</si>
  <si>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</si>
  <si>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</si>
  <si>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</si>
  <si>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</si>
  <si>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</si>
  <si>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</si>
  <si>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</si>
  <si>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</si>
  <si>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</si>
  <si>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</si>
  <si>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</si>
  <si>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</si>
  <si>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</si>
  <si>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</si>
  <si>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</si>
  <si>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</si>
  <si>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</si>
  <si>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</si>
  <si>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</si>
  <si>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</si>
  <si>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</si>
  <si>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</si>
  <si>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</si>
  <si>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</si>
  <si>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</si>
  <si>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</si>
  <si>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</si>
  <si>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</si>
  <si>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</si>
  <si>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</si>
  <si>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</si>
  <si>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</si>
  <si>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</si>
  <si>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</si>
  <si>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</si>
  <si>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</si>
  <si>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</si>
  <si>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</si>
  <si>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</si>
  <si>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</si>
  <si>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</si>
  <si>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</si>
  <si>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</si>
  <si>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</si>
  <si>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</si>
  <si>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</si>
  <si>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</si>
  <si>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</si>
  <si>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</si>
  <si>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</si>
  <si>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</si>
  <si>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</si>
  <si>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</si>
  <si>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</si>
  <si>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</si>
  <si>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</si>
  <si>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</si>
  <si>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</si>
  <si>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</si>
  <si>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</si>
  <si>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</si>
  <si>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</si>
  <si>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</si>
  <si>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</si>
  <si>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</si>
  <si>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</si>
  <si>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</si>
  <si>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</si>
  <si>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</si>
  <si>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</si>
  <si>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</si>
  <si>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</si>
  <si>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</si>
  <si>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</si>
  <si>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</si>
  <si>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</si>
  <si>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</si>
  <si>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</si>
  <si>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</si>
  <si>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</si>
  <si>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</si>
  <si>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</si>
  <si>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</si>
  <si>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</si>
  <si>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</si>
  <si>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</si>
  <si>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</si>
  <si>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</si>
  <si>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</si>
  <si>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</si>
  <si>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</si>
  <si>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</si>
  <si>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</si>
  <si>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</si>
  <si>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</si>
  <si>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</si>
  <si>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</si>
  <si>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</si>
  <si>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</si>
  <si>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</si>
  <si>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</si>
  <si>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</si>
  <si>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</si>
  <si>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</si>
  <si>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</si>
  <si>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</si>
  <si>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</si>
  <si>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</si>
  <si>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</si>
  <si>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</si>
  <si>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</si>
  <si>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</si>
  <si>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</si>
  <si>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</si>
  <si>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</si>
  <si>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</si>
  <si>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</si>
  <si>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</si>
  <si>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</si>
  <si>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</si>
  <si>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</si>
  <si>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</si>
  <si>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</si>
  <si>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</si>
  <si>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</si>
  <si>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</si>
  <si>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</si>
  <si>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</si>
  <si>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</si>
  <si>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</si>
  <si>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</si>
  <si>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</si>
  <si>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</si>
  <si>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</si>
  <si>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</si>
  <si>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</si>
  <si>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</si>
  <si>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</si>
  <si>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</si>
  <si>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</si>
  <si>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</si>
  <si>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</si>
  <si>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</si>
  <si>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</si>
  <si>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</si>
  <si>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</si>
  <si>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</si>
  <si>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</si>
  <si>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</si>
  <si>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</si>
  <si>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</si>
  <si>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</si>
  <si>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</si>
  <si>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</si>
  <si>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</si>
  <si>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</si>
  <si>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</si>
  <si>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</si>
  <si>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</si>
  <si>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</si>
  <si>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</si>
  <si>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</si>
  <si>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</si>
  <si>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</si>
  <si>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</si>
  <si>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</si>
  <si>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</si>
  <si>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</si>
  <si>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</si>
  <si>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</si>
  <si>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</si>
  <si>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</si>
  <si>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</si>
  <si>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</si>
  <si>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</si>
  <si>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</si>
  <si>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</si>
  <si>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</si>
  <si>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</si>
  <si>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</si>
  <si>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</si>
  <si>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</si>
  <si>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</si>
  <si>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</si>
  <si>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</si>
  <si>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</si>
  <si>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</si>
  <si>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</si>
  <si>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</si>
  <si>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</si>
  <si>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</si>
  <si>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</si>
  <si>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</si>
  <si>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</si>
  <si>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</si>
  <si>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</si>
  <si>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</si>
  <si>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</si>
  <si>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</si>
  <si>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</si>
  <si>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</si>
  <si>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</si>
  <si>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</si>
  <si>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</si>
  <si>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</si>
  <si>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</si>
  <si>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</si>
  <si>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</si>
  <si>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</si>
  <si>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</si>
  <si>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</si>
  <si>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</si>
  <si>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</si>
  <si>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</si>
  <si>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</si>
  <si>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</si>
  <si>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</si>
  <si>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</si>
  <si>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</si>
  <si>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</si>
  <si>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</si>
  <si>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</si>
  <si>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</si>
  <si>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</si>
  <si>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</si>
  <si>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</si>
  <si>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</si>
  <si>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</si>
  <si>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</si>
  <si>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</si>
  <si>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</si>
  <si>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</si>
  <si>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</si>
  <si>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</si>
  <si>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</si>
  <si>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</si>
  <si>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</si>
  <si>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</si>
  <si>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</si>
  <si>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</si>
  <si>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</si>
  <si>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</si>
  <si>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</si>
  <si>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</si>
  <si>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</si>
  <si>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</si>
  <si>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</si>
  <si>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</si>
  <si>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</si>
  <si>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</si>
  <si>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</si>
  <si>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</si>
  <si>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</si>
  <si>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</si>
  <si>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</si>
  <si>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</si>
  <si>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</si>
  <si>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</si>
  <si>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</si>
  <si>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</si>
  <si>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</si>
  <si>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</si>
  <si>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</si>
  <si>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</si>
  <si>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</si>
  <si>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</si>
  <si>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</si>
  <si>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</si>
  <si>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</si>
  <si>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</si>
  <si>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</si>
  <si>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</si>
  <si>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</si>
  <si>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</si>
  <si>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</si>
  <si>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</si>
  <si>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</si>
  <si>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</si>
  <si>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</si>
  <si>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</si>
  <si>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</si>
  <si>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</si>
  <si>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</si>
  <si>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</si>
  <si>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</si>
  <si>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</si>
  <si>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</si>
  <si>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</si>
  <si>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</si>
  <si>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</si>
  <si>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</si>
  <si>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</si>
  <si>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</si>
  <si>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</si>
  <si>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</si>
  <si>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</si>
  <si>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</si>
  <si>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</si>
  <si>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</si>
  <si>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</si>
  <si>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</si>
  <si>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</si>
  <si>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</si>
  <si>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</si>
  <si>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</si>
  <si>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</si>
  <si>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</si>
  <si>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</si>
  <si>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</si>
  <si>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</si>
  <si>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</si>
  <si>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</si>
  <si>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</si>
  <si>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</si>
  <si>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</si>
  <si>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</si>
  <si>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</si>
  <si>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</si>
  <si>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</si>
  <si>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</si>
  <si>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</si>
  <si>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</si>
  <si>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</si>
  <si>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</si>
  <si>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</si>
  <si>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</si>
  <si>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</si>
  <si>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</si>
  <si>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</si>
  <si>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</si>
  <si>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</si>
  <si>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</si>
  <si>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</si>
  <si>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</si>
  <si>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</si>
  <si>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</si>
  <si>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</si>
  <si>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</si>
  <si>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</si>
  <si>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</si>
  <si>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</si>
  <si>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</si>
  <si>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</si>
  <si>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</si>
  <si>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</si>
  <si>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</si>
  <si>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</si>
  <si>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</si>
  <si>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</si>
  <si>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</si>
  <si>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</si>
  <si>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</si>
  <si>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</si>
  <si>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</si>
  <si>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</si>
  <si>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</si>
  <si>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</si>
  <si>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</si>
  <si>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</si>
  <si>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</si>
  <si>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</si>
  <si>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</si>
  <si>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</si>
  <si>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</si>
  <si>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</si>
  <si>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</si>
  <si>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</si>
  <si>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</si>
  <si>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</si>
  <si>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</si>
  <si>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</si>
  <si>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</si>
  <si>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</si>
  <si>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</si>
  <si>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</si>
  <si>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</si>
  <si>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</si>
  <si>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</si>
  <si>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</si>
  <si>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</si>
  <si>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</si>
  <si>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</si>
  <si>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</si>
  <si>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</si>
  <si>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</si>
  <si>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</si>
  <si>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</si>
  <si>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</si>
  <si>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</si>
  <si>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</si>
  <si>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</si>
  <si>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</si>
  <si>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</si>
  <si>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</si>
  <si>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</si>
  <si>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</si>
  <si>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</si>
  <si>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</si>
  <si>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</si>
  <si>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</si>
  <si>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</si>
  <si>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</si>
  <si>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</si>
  <si>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</si>
  <si>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</si>
  <si>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</si>
  <si>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</si>
  <si>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</si>
  <si>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</si>
  <si>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</si>
  <si>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</si>
  <si>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</si>
  <si>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</si>
  <si>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</si>
  <si>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</si>
  <si>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</si>
  <si>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</si>
  <si>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</si>
  <si>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</si>
  <si>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</si>
  <si>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</si>
  <si>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</si>
  <si>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</si>
  <si>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</si>
  <si>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</si>
  <si>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</si>
  <si>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</si>
  <si>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</si>
  <si>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</si>
  <si>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</si>
  <si>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</si>
  <si>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</si>
  <si>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</si>
  <si>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</si>
  <si>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</si>
  <si>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</si>
  <si>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</si>
  <si>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</si>
  <si>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</si>
  <si>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</si>
  <si>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</si>
  <si>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</si>
  <si>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</si>
  <si>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</si>
  <si>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</si>
  <si>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</si>
  <si>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</si>
  <si>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</si>
  <si>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</si>
  <si>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</si>
  <si>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</si>
  <si>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</si>
  <si>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</si>
  <si>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</si>
  <si>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</si>
  <si>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</si>
  <si>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</si>
  <si>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</si>
  <si>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</si>
  <si>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</si>
  <si>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</si>
  <si>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</si>
  <si>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</si>
  <si>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</si>
  <si>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</si>
  <si>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</si>
  <si>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</si>
  <si>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</si>
  <si>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</si>
  <si>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</si>
  <si>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</si>
  <si>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</si>
  <si>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</si>
  <si>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</si>
  <si>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</si>
  <si>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</si>
  <si>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</si>
  <si>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</si>
  <si>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</si>
  <si>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</si>
  <si>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</si>
  <si>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</si>
  <si>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</si>
  <si>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</si>
  <si>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</si>
  <si>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</si>
  <si>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</si>
  <si>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</si>
  <si>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</si>
  <si>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</si>
  <si>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</si>
  <si>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</si>
  <si>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</si>
  <si>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</si>
  <si>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</si>
  <si>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</si>
  <si>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</si>
  <si>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</si>
  <si>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</si>
  <si>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</si>
  <si>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</si>
  <si>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</si>
  <si>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</si>
  <si>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</si>
  <si>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</si>
  <si>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</si>
  <si>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</si>
  <si>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</si>
  <si>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</si>
  <si>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</si>
  <si>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</si>
  <si>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</si>
  <si>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</si>
  <si>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</si>
  <si>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</si>
  <si>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</si>
  <si>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</si>
  <si>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</si>
  <si>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</si>
  <si>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</si>
  <si>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</si>
  <si>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</si>
  <si>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</si>
  <si>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</si>
  <si>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</si>
  <si>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</si>
  <si>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</si>
  <si>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</si>
  <si>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</si>
  <si>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</si>
  <si>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</si>
  <si>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</si>
  <si>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</si>
  <si>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</si>
  <si>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</si>
  <si>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</si>
  <si>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</si>
  <si>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</si>
  <si>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</si>
  <si>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</si>
  <si>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</si>
  <si>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</si>
  <si>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</si>
  <si>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</si>
  <si>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</si>
  <si>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</si>
  <si>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</si>
  <si>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</si>
  <si>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</si>
  <si>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</si>
  <si>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</si>
  <si>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</si>
  <si>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</si>
  <si>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</si>
  <si>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</si>
  <si>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</si>
  <si>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</si>
  <si>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</si>
  <si>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</si>
  <si>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</si>
  <si>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</si>
  <si>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</si>
  <si>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</si>
  <si>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</si>
  <si>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</si>
  <si>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</si>
  <si>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</si>
  <si>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</si>
  <si>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</si>
  <si>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</si>
  <si>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</si>
  <si>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</si>
  <si>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</si>
  <si>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</si>
  <si>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</si>
  <si>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</si>
  <si>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</si>
  <si>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</si>
  <si>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</si>
  <si>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</si>
  <si>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</si>
  <si>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</si>
  <si>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</si>
  <si>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</si>
  <si>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</si>
  <si>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</si>
  <si>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</si>
  <si>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</si>
  <si>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</si>
  <si>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</si>
  <si>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</si>
  <si>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</si>
  <si>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</si>
  <si>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</si>
  <si>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</si>
  <si>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</si>
  <si>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</si>
  <si>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</si>
  <si>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</si>
  <si>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</si>
  <si>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</si>
  <si>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</si>
  <si>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</si>
  <si>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</si>
  <si>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</si>
  <si>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</si>
  <si>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</si>
  <si>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</si>
  <si>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</si>
  <si>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</si>
  <si>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</si>
  <si>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</si>
  <si>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</si>
  <si>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</si>
  <si>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</si>
  <si>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</si>
  <si>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</si>
  <si>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</si>
  <si>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</si>
  <si>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</si>
  <si>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</si>
  <si>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</si>
  <si>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</si>
  <si>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</si>
  <si>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</si>
  <si>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</si>
  <si>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</si>
  <si>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</si>
  <si>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</si>
  <si>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</si>
  <si>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</si>
  <si>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</si>
  <si>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</si>
  <si>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</si>
  <si>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</si>
  <si>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</si>
  <si>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</si>
  <si>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</si>
  <si>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</si>
  <si>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</si>
  <si>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</si>
  <si>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</si>
  <si>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</si>
  <si>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</si>
  <si>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</si>
  <si>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</si>
  <si>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</si>
  <si>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</si>
  <si>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</si>
  <si>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</si>
  <si>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</si>
  <si>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</si>
  <si>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</si>
  <si>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</si>
  <si>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</si>
  <si>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</si>
  <si>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</si>
  <si>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</si>
  <si>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</si>
  <si>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</si>
  <si>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</si>
  <si>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</si>
  <si>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</si>
  <si>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</si>
  <si>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</si>
  <si>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</si>
  <si>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</si>
  <si>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</si>
  <si>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</si>
  <si>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</si>
  <si>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</si>
  <si>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</si>
  <si>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</si>
  <si>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</si>
  <si>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</si>
  <si>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</si>
  <si>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</si>
  <si>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</si>
  <si>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</si>
  <si>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</si>
  <si>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</si>
  <si>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</si>
  <si>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</si>
  <si>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</si>
  <si>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</si>
  <si>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</si>
  <si>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</si>
  <si>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</si>
  <si>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</si>
  <si>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</si>
  <si>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</si>
  <si>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</si>
  <si>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</si>
  <si>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</si>
  <si>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</si>
  <si>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</si>
  <si>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</si>
  <si>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</si>
  <si>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</si>
  <si>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</si>
  <si>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</si>
  <si>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</si>
  <si>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</si>
  <si>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</si>
  <si>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</si>
  <si>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</si>
  <si>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</si>
  <si>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</si>
  <si>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</si>
  <si>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</si>
  <si>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</si>
  <si>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</si>
  <si>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</si>
  <si>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</si>
  <si>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</si>
  <si>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</si>
  <si>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</si>
  <si>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</si>
  <si>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</si>
  <si>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</si>
  <si>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</si>
  <si>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</si>
  <si>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</si>
  <si>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</si>
  <si>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</si>
  <si>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</si>
  <si>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</si>
  <si>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</si>
  <si>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</si>
  <si>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</si>
  <si>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</si>
  <si>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</si>
  <si>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</si>
  <si>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</si>
  <si>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</si>
  <si>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</si>
  <si>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</si>
  <si>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</si>
  <si>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</si>
  <si>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</si>
  <si>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</si>
  <si>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</si>
  <si>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</si>
  <si>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</si>
  <si>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</si>
  <si>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</si>
  <si>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</si>
  <si>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</si>
  <si>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</si>
  <si>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</si>
  <si>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</si>
  <si>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</si>
  <si>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</si>
  <si>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</si>
  <si>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</si>
  <si>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</si>
  <si>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</si>
  <si>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</si>
  <si>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</si>
  <si>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</si>
  <si>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</si>
  <si>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</si>
  <si>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</si>
  <si>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</si>
  <si>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</si>
  <si>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</si>
  <si>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</si>
  <si>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</si>
  <si>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</si>
  <si>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</si>
  <si>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</si>
  <si>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</si>
  <si>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</si>
  <si>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</si>
  <si>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</si>
  <si>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</si>
  <si>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</si>
  <si>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</si>
  <si>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</si>
  <si>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</si>
  <si>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</si>
  <si>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</si>
  <si>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</si>
  <si>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</si>
  <si>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</si>
  <si>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</si>
  <si>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</si>
  <si>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</si>
  <si>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</si>
  <si>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</si>
  <si>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</si>
  <si>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</si>
  <si>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</si>
  <si>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</si>
  <si>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</si>
  <si>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</si>
  <si>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</si>
  <si>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</si>
  <si>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</si>
  <si>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</si>
  <si>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</si>
  <si>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</si>
  <si>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</si>
  <si>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</si>
  <si>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</si>
  <si>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</si>
  <si>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</si>
  <si>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</si>
  <si>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</si>
  <si>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</si>
  <si>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</si>
  <si>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</si>
  <si>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</si>
  <si>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</si>
  <si>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</si>
  <si>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</si>
  <si>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</si>
  <si>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</si>
  <si>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</si>
  <si>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</si>
  <si>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</si>
  <si>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</si>
  <si>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</si>
  <si>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</si>
  <si>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</si>
  <si>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</si>
  <si>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</si>
  <si>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</si>
  <si>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</si>
  <si>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</si>
  <si>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</si>
  <si>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</si>
  <si>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</si>
  <si>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</si>
  <si>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</si>
  <si>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</si>
  <si>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</si>
  <si>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</si>
  <si>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</si>
  <si>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</si>
  <si>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</si>
  <si>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</si>
  <si>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</si>
  <si>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</si>
  <si>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</si>
  <si>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</si>
  <si>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</si>
  <si>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</si>
  <si>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</si>
  <si>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</si>
  <si>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</si>
  <si>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</si>
  <si>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</si>
  <si>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</si>
  <si>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</si>
  <si>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</si>
  <si>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</si>
  <si>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</si>
  <si>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</si>
  <si>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</si>
  <si>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</si>
  <si>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</si>
  <si>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</si>
  <si>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</si>
  <si>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</si>
  <si>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</si>
  <si>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</si>
  <si>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</si>
  <si>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</si>
  <si>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</si>
  <si>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</si>
  <si>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</si>
  <si>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</si>
  <si>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</si>
  <si>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</si>
  <si>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</si>
  <si>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</si>
  <si>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</si>
  <si>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</si>
  <si>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</si>
  <si>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</si>
  <si>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</si>
  <si>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</si>
  <si>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</si>
  <si>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</si>
  <si>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</si>
  <si>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</si>
  <si>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</si>
  <si>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</si>
  <si>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</si>
  <si>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</si>
  <si>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</si>
  <si>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</si>
  <si>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</si>
  <si>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</si>
  <si>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</si>
  <si>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</si>
  <si>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</si>
  <si>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</si>
  <si>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</si>
  <si>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</si>
  <si>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</si>
  <si>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</si>
  <si>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</si>
  <si>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</si>
  <si>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</si>
  <si>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</si>
  <si>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</si>
  <si>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</si>
  <si>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</si>
  <si>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</si>
  <si>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</si>
  <si>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</si>
  <si>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</si>
  <si>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</si>
  <si>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</si>
  <si>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</si>
  <si>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</si>
  <si>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</si>
  <si>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</si>
  <si>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</si>
  <si>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</si>
  <si>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</si>
  <si>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</si>
  <si>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</si>
  <si>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</si>
  <si>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</si>
  <si>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</si>
  <si>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</si>
  <si>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</si>
  <si>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</si>
  <si>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</si>
  <si>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</si>
  <si>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</si>
  <si>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</si>
  <si>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</si>
  <si>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</si>
  <si>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</si>
  <si>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</si>
  <si>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</si>
  <si>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</si>
  <si>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</si>
  <si>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</si>
  <si>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</si>
  <si>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</si>
  <si>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</si>
  <si>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</si>
  <si>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</si>
  <si>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</si>
  <si>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</si>
  <si>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</si>
  <si>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</si>
  <si>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</si>
  <si>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</si>
  <si>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</si>
  <si>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</si>
  <si>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</si>
  <si>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</si>
  <si>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</si>
  <si>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</si>
  <si>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</si>
  <si>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</si>
  <si>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</si>
  <si>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</si>
  <si>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</si>
  <si>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</si>
  <si>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</si>
  <si>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</si>
  <si>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</si>
  <si>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</si>
  <si>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</si>
  <si>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</si>
  <si>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</si>
  <si>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</si>
  <si>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</si>
  <si>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</si>
  <si>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</si>
  <si>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</si>
  <si>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</si>
  <si>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</si>
  <si>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</si>
  <si>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</si>
  <si>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</si>
  <si>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</si>
  <si>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</si>
  <si>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</si>
  <si>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</si>
  <si>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</si>
  <si>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</si>
  <si>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</si>
  <si>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</si>
  <si>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</si>
  <si>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</si>
  <si>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</si>
  <si>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</si>
  <si>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</si>
  <si>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</si>
  <si>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</si>
  <si>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</si>
  <si>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</si>
  <si>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</si>
  <si>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</si>
  <si>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</si>
  <si>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</si>
  <si>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</si>
  <si>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</si>
  <si>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</si>
  <si>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</si>
  <si>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</si>
  <si>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</si>
  <si>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</si>
  <si>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</si>
  <si>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</si>
  <si>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</si>
  <si>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</si>
  <si>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</si>
  <si>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</si>
  <si>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</si>
  <si>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</si>
  <si>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</si>
  <si>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</si>
  <si>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</si>
  <si>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</si>
  <si>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</si>
  <si>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</si>
  <si>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</si>
  <si>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</si>
  <si>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</si>
  <si>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</si>
  <si>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</si>
  <si>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</si>
  <si>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</si>
  <si>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</si>
  <si>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</si>
  <si>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</si>
  <si>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</si>
  <si>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</si>
  <si>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</si>
  <si>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</si>
  <si>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</si>
  <si>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</si>
  <si>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</si>
  <si>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</si>
  <si>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</si>
  <si>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</si>
  <si>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</si>
  <si>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</si>
  <si>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</si>
  <si>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</si>
  <si>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</si>
  <si>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</si>
  <si>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</si>
  <si>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</si>
  <si>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</si>
  <si>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</si>
  <si>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</si>
  <si>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</si>
  <si>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</si>
  <si>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</si>
  <si>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</si>
  <si>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</si>
  <si>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</si>
  <si>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</si>
  <si>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</si>
  <si>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</si>
  <si>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</si>
  <si>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</si>
  <si>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</si>
  <si>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</si>
  <si>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</si>
  <si>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</si>
  <si>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</si>
  <si>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</si>
  <si>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</si>
  <si>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</si>
  <si>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</si>
  <si>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</si>
  <si>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</si>
  <si>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</si>
  <si>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</si>
  <si>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</si>
  <si>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</si>
  <si>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</si>
  <si>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</si>
  <si>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</si>
  <si>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</si>
  <si>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</si>
  <si>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</si>
  <si>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</si>
  <si>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</si>
  <si>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</si>
  <si>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</si>
  <si>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</si>
  <si>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</si>
  <si>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</si>
  <si>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</si>
  <si>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</si>
  <si>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</si>
  <si>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</si>
  <si>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</si>
  <si>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</si>
  <si>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</si>
  <si>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</si>
  <si>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</si>
  <si>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</si>
  <si>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</si>
  <si>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</si>
  <si>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</si>
  <si>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</si>
  <si>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</si>
  <si>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</si>
  <si>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</si>
  <si>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</si>
  <si>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</si>
  <si>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</si>
  <si>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</si>
  <si>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</si>
  <si>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</si>
  <si>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</si>
  <si>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</si>
  <si>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</si>
  <si>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</si>
  <si>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</si>
  <si>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</si>
  <si>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</si>
  <si>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</si>
  <si>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</si>
  <si>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</si>
  <si>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</si>
  <si>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</si>
  <si>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</si>
  <si>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</si>
  <si>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</si>
  <si>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</si>
  <si>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</si>
  <si>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</si>
  <si>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</si>
  <si>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</si>
  <si>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</si>
  <si>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</si>
  <si>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</si>
  <si>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</si>
  <si>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</si>
  <si>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</si>
  <si>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</si>
  <si>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</si>
  <si>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</si>
  <si>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</si>
  <si>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</si>
  <si>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</si>
  <si>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</si>
  <si>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</si>
  <si>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</si>
  <si>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</si>
  <si>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</si>
  <si>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</si>
  <si>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</si>
  <si>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</si>
  <si>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</si>
  <si>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</si>
  <si>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</si>
  <si>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</si>
  <si>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</si>
  <si>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</si>
  <si>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</si>
  <si>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</si>
  <si>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</si>
  <si>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</si>
  <si>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</si>
  <si>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</si>
  <si>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</si>
  <si>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</si>
  <si>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</si>
  <si>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</si>
  <si>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</si>
  <si>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</si>
  <si>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</si>
  <si>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</si>
  <si>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</si>
  <si>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</si>
  <si>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</si>
  <si>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</si>
  <si>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</si>
  <si>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</si>
  <si>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</si>
  <si>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</si>
  <si>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</si>
  <si>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</si>
  <si>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</si>
  <si>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</si>
  <si>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</si>
  <si>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</si>
  <si>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</si>
  <si>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</si>
  <si>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</si>
  <si>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</si>
  <si>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</si>
  <si>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</si>
  <si>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</si>
  <si>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</si>
  <si>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</si>
  <si>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</si>
  <si>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</si>
  <si>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</si>
  <si>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</si>
  <si>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</si>
  <si>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</si>
  <si>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</si>
  <si>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</si>
  <si>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</si>
  <si>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</si>
  <si>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</si>
  <si>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</si>
  <si>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</si>
  <si>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</si>
  <si>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</si>
  <si>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</si>
  <si>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</si>
  <si>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</si>
  <si>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</si>
  <si>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</si>
  <si>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</si>
  <si>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</si>
  <si>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</si>
  <si>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</si>
  <si>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</si>
  <si>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</si>
  <si>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</si>
  <si>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</si>
  <si>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</si>
  <si>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</si>
  <si>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</si>
  <si>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</si>
  <si>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</si>
  <si>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</si>
  <si>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</si>
  <si>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</si>
  <si>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</si>
  <si>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</si>
  <si>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</si>
  <si>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</si>
  <si>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</si>
  <si>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</si>
  <si>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</si>
  <si>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</si>
  <si>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</si>
  <si>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</si>
  <si>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</si>
  <si>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</si>
  <si>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</si>
  <si>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</si>
  <si>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</si>
  <si>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</si>
  <si>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</si>
  <si>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</si>
  <si>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</si>
  <si>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</si>
  <si>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</si>
  <si>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</si>
  <si>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</si>
  <si>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</si>
  <si>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</si>
  <si>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</si>
  <si>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</si>
  <si>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</si>
  <si>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</si>
  <si>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</si>
  <si>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</si>
  <si>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</si>
  <si>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</si>
  <si>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</si>
  <si>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</si>
  <si>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</si>
  <si>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</si>
  <si>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</si>
  <si>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</si>
  <si>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</si>
  <si>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</si>
  <si>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</si>
  <si>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</si>
  <si>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</si>
  <si>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</si>
  <si>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</si>
  <si>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</si>
  <si>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</si>
  <si>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</si>
  <si>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</si>
  <si>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</si>
  <si>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</si>
  <si>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</si>
  <si>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</si>
  <si>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</si>
  <si>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</si>
  <si>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</si>
  <si>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</si>
  <si>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</si>
  <si>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</si>
  <si>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</si>
  <si>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</si>
  <si>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</si>
  <si>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</si>
  <si>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</si>
  <si>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</si>
  <si>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</si>
  <si>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</si>
  <si>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</si>
  <si>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</si>
  <si>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</si>
  <si>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</si>
  <si>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</si>
  <si>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</si>
  <si>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</si>
  <si>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</si>
  <si>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</si>
  <si>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</si>
  <si>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</si>
  <si>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</si>
  <si>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</si>
  <si>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</si>
  <si>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</si>
  <si>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</si>
  <si>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</si>
  <si>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</si>
  <si>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</si>
  <si>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</si>
  <si>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</si>
  <si>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</si>
  <si>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</si>
  <si>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</si>
  <si>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</si>
  <si>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</si>
  <si>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</si>
  <si>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</si>
  <si>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</si>
  <si>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</si>
  <si>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</si>
  <si>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</si>
  <si>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</si>
  <si>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</si>
  <si>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</si>
  <si>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</si>
  <si>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</si>
  <si>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</si>
  <si>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</si>
  <si>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</si>
  <si>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</si>
  <si>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</si>
  <si>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</si>
  <si>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</si>
  <si>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</si>
  <si>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</si>
  <si>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</si>
  <si>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</si>
  <si>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</si>
  <si>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</si>
  <si>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</si>
  <si>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</si>
  <si>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</si>
  <si>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</si>
  <si>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</si>
  <si>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</si>
  <si>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</si>
  <si>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</si>
  <si>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</si>
  <si>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</si>
  <si>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</si>
  <si>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</si>
  <si>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</si>
  <si>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</si>
  <si>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</si>
  <si>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</si>
  <si>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</si>
  <si>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</si>
  <si>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</si>
  <si>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</si>
  <si>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</si>
  <si>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</si>
  <si>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</si>
  <si>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</si>
  <si>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</si>
  <si>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</si>
  <si>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</si>
  <si>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</si>
  <si>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</si>
  <si>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</si>
  <si>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</si>
  <si>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</si>
  <si>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</si>
  <si>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</si>
  <si>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</si>
  <si>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</si>
  <si>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</si>
  <si>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</si>
  <si>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</si>
  <si>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</si>
  <si>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</si>
  <si>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</si>
  <si>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</si>
  <si>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</si>
  <si>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</si>
  <si>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</si>
  <si>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</si>
  <si>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</si>
  <si>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</si>
  <si>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</si>
  <si>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</si>
  <si>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</si>
  <si>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</si>
  <si>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</si>
  <si>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</si>
  <si>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</si>
  <si>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</si>
  <si>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</si>
  <si>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</si>
  <si>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</si>
  <si>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</si>
  <si>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</si>
  <si>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</si>
  <si>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</si>
  <si>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</si>
  <si>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</si>
  <si>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</si>
  <si>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</si>
  <si>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</si>
  <si>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</si>
  <si>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</si>
  <si>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</si>
  <si>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</si>
  <si>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</si>
  <si>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</si>
  <si>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</si>
  <si>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</si>
  <si>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</si>
  <si>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</si>
  <si>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</si>
  <si>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</si>
  <si>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</si>
  <si>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</si>
  <si>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</si>
  <si>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</si>
  <si>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</si>
  <si>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</si>
  <si>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</si>
  <si>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</si>
  <si>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</si>
  <si>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</si>
  <si>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</si>
  <si>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</si>
  <si>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</si>
  <si>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</si>
  <si>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</si>
  <si>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</si>
  <si>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</si>
  <si>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</si>
  <si>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</si>
  <si>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</si>
  <si>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</si>
  <si>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</si>
  <si>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</si>
  <si>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</si>
  <si>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</si>
  <si>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</si>
  <si>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</si>
  <si>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</si>
  <si>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</si>
  <si>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</si>
  <si>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</si>
  <si>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</si>
  <si>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</si>
  <si>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</si>
  <si>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</si>
  <si>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</si>
  <si>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</si>
  <si>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</si>
  <si>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</si>
  <si>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</si>
  <si>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</si>
  <si>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</si>
  <si>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</si>
  <si>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</si>
  <si>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</si>
  <si>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</si>
  <si>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</si>
  <si>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</si>
  <si>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</si>
  <si>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</si>
  <si>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</si>
  <si>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</si>
  <si>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</si>
  <si>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</si>
  <si>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</si>
  <si>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</si>
  <si>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</si>
  <si>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</si>
  <si>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</si>
  <si>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</si>
  <si>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</si>
  <si>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</si>
  <si>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</si>
  <si>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</si>
  <si>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</si>
  <si>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</si>
  <si>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</si>
  <si>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</si>
  <si>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</si>
  <si>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</si>
  <si>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</si>
  <si>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</si>
  <si>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</si>
  <si>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</si>
  <si>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</si>
  <si>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</si>
  <si>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</si>
  <si>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</si>
  <si>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</si>
  <si>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</si>
  <si>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</si>
  <si>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</si>
  <si>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</si>
  <si>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</si>
  <si>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</si>
  <si>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</si>
  <si>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</si>
  <si>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</si>
  <si>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</si>
  <si>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</si>
  <si>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</si>
  <si>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</si>
  <si>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</si>
  <si>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</si>
  <si>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</si>
  <si>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</si>
  <si>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</si>
  <si>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</si>
  <si>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</si>
  <si>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</si>
  <si>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</si>
  <si>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</si>
  <si>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</si>
  <si>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</si>
  <si>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</si>
  <si>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</si>
  <si>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</si>
  <si>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</si>
  <si>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</si>
  <si>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</si>
  <si>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</si>
  <si>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</si>
  <si>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</si>
  <si>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</si>
  <si>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</si>
  <si>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</si>
  <si>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</si>
  <si>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</si>
  <si>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</si>
  <si>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</si>
  <si>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</si>
  <si>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</si>
  <si>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</si>
  <si>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</si>
  <si>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</si>
  <si>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</si>
  <si>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</si>
  <si>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</si>
  <si>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</si>
  <si>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</si>
  <si>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</si>
  <si>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</si>
  <si>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</si>
  <si>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</si>
  <si>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</si>
  <si>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</si>
  <si>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</si>
  <si>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</si>
  <si>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</si>
  <si>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</si>
  <si>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</si>
  <si>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</si>
  <si>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</si>
  <si>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</si>
  <si>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</si>
  <si>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</si>
  <si>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</si>
  <si>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</si>
  <si>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</si>
  <si>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</si>
  <si>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</si>
  <si>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</si>
  <si>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</si>
  <si>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</si>
  <si>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</si>
  <si>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</si>
  <si>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</si>
  <si>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</si>
  <si>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</si>
  <si>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</si>
  <si>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</si>
  <si>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</si>
  <si>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</si>
  <si>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</si>
  <si>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</si>
  <si>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</si>
  <si>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</si>
  <si>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</si>
  <si>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</si>
  <si>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</si>
  <si>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</si>
  <si>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</si>
  <si>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</si>
  <si>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</si>
  <si>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</si>
  <si>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</si>
  <si>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</si>
  <si>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</si>
  <si>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</si>
  <si>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</si>
  <si>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</si>
  <si>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</si>
  <si>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</si>
  <si>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</si>
  <si>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</si>
  <si>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</si>
  <si>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</si>
  <si>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</si>
  <si>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</si>
  <si>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</si>
  <si>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</si>
  <si>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</si>
  <si>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</si>
  <si>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</si>
  <si>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</si>
  <si>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</si>
  <si>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</si>
  <si>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</si>
  <si>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</si>
  <si>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</si>
  <si>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</si>
  <si>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</si>
  <si>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</si>
  <si>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</si>
  <si>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</si>
  <si>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</si>
  <si>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</si>
  <si>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</si>
  <si>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</si>
  <si>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</si>
  <si>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</si>
  <si>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</si>
  <si>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</si>
  <si>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</si>
  <si>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</si>
  <si>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</si>
  <si>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</si>
  <si>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</si>
  <si>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</si>
  <si>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</si>
  <si>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</si>
  <si>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</si>
  <si>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</si>
  <si>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</si>
  <si>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</si>
  <si>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</si>
  <si>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</si>
  <si>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</si>
  <si>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</si>
  <si>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</si>
  <si>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</si>
  <si>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</si>
  <si>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</si>
  <si>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</si>
  <si>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</si>
  <si>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</si>
  <si>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</si>
  <si>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</si>
  <si>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</si>
  <si>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</si>
  <si>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</si>
  <si>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</si>
  <si>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</si>
  <si>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</si>
  <si>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</si>
  <si>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</si>
  <si>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</si>
  <si>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</si>
  <si>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</si>
  <si>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</si>
  <si>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</si>
  <si>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</si>
  <si>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</si>
  <si>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</si>
  <si>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</si>
  <si>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</si>
  <si>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</si>
  <si>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</si>
  <si>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</si>
  <si>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</si>
  <si>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</si>
  <si>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</si>
  <si>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</si>
  <si>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</si>
  <si>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</si>
  <si>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</si>
  <si>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</si>
  <si>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</si>
  <si>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</si>
  <si>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</si>
  <si>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</si>
  <si>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</si>
  <si>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</si>
  <si>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</si>
  <si>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</si>
  <si>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</si>
  <si>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</si>
  <si>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</si>
  <si>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</si>
  <si>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</si>
  <si>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</si>
  <si>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</si>
  <si>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</si>
  <si>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</si>
  <si>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</si>
  <si>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</si>
  <si>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</si>
  <si>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</si>
  <si>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</si>
  <si>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</si>
  <si>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</si>
  <si>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</si>
  <si>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</si>
  <si>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</si>
  <si>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</si>
  <si>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</si>
  <si>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</si>
  <si>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</si>
  <si>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</si>
  <si>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</si>
  <si>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</si>
  <si>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</si>
  <si>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</si>
  <si>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</si>
  <si>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</si>
  <si>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</si>
  <si>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</si>
  <si>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</si>
  <si>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</si>
  <si>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</si>
  <si>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</si>
  <si>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</si>
  <si>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</si>
  <si>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</si>
  <si>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</si>
  <si>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</si>
  <si>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</si>
  <si>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</si>
  <si>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</si>
  <si>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</si>
  <si>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</si>
  <si>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</si>
  <si>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</si>
  <si>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</si>
  <si>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</si>
  <si>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</si>
  <si>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</si>
  <si>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</si>
  <si>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</si>
  <si>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</si>
  <si>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</si>
  <si>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</si>
  <si>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</si>
  <si>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</si>
  <si>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</si>
  <si>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</si>
  <si>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</si>
  <si>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</si>
  <si>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</si>
  <si>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</si>
  <si>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</si>
  <si>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</si>
  <si>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</si>
  <si>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</si>
  <si>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</si>
  <si>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</si>
  <si>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</si>
  <si>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</si>
  <si>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</si>
  <si>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</si>
  <si>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</si>
  <si>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</si>
  <si>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</si>
  <si>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</si>
  <si>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</si>
  <si>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</si>
  <si>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</si>
  <si>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</si>
  <si>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</si>
  <si>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</si>
  <si>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</si>
  <si>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</si>
  <si>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</si>
  <si>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</si>
  <si>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</si>
  <si>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</si>
  <si>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</si>
  <si>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</si>
  <si>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</si>
  <si>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</si>
  <si>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</si>
  <si>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</si>
  <si>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</si>
  <si>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</si>
  <si>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</si>
  <si>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</si>
  <si>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</si>
  <si>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</si>
  <si>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</si>
  <si>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</si>
  <si>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</si>
  <si>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</si>
  <si>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</si>
  <si>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</si>
  <si>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</si>
  <si>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</si>
  <si>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</si>
  <si>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</si>
  <si>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</si>
  <si>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</si>
  <si>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</si>
  <si>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</si>
  <si>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</si>
  <si>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</si>
  <si>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</si>
  <si>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</si>
  <si>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</si>
  <si>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</si>
  <si>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</si>
  <si>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</si>
  <si>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</si>
  <si>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</si>
  <si>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</si>
  <si>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</si>
  <si>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</si>
  <si>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</si>
  <si>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</si>
  <si>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</si>
  <si>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</si>
  <si>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</si>
  <si>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</si>
  <si>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</si>
  <si>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</si>
  <si>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</si>
  <si>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</si>
  <si>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</si>
  <si>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</si>
  <si>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</si>
  <si>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</si>
  <si>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</si>
  <si>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</si>
  <si>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</si>
  <si>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</si>
  <si>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</si>
  <si>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</si>
  <si>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</si>
  <si>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</si>
  <si>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</si>
  <si>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</si>
  <si>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</si>
  <si>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</si>
  <si>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</si>
  <si>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</si>
  <si>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</si>
  <si>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</si>
  <si>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</si>
  <si>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</si>
  <si>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</si>
  <si>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</si>
  <si>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</si>
  <si>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</si>
  <si>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</si>
  <si>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</si>
  <si>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</si>
  <si>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</si>
  <si>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</si>
  <si>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</si>
  <si>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</si>
  <si>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</si>
  <si>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</si>
  <si>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</si>
  <si>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</si>
  <si>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</si>
  <si>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</si>
  <si>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</si>
  <si>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</si>
  <si>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</si>
  <si>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</si>
  <si>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</si>
  <si>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</si>
  <si>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</si>
  <si>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</si>
  <si>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</si>
  <si>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</si>
  <si>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</si>
  <si>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</si>
  <si>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</si>
  <si>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</si>
  <si>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</si>
  <si>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</si>
  <si>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</si>
  <si>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</si>
  <si>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</si>
  <si>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</si>
  <si>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</si>
  <si>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</si>
  <si>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</si>
  <si>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</si>
  <si>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</si>
  <si>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</si>
  <si>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</si>
  <si>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</si>
  <si>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</si>
  <si>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</si>
  <si>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</si>
  <si>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</si>
  <si>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</si>
  <si>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</si>
  <si>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</si>
  <si>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</si>
  <si>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</si>
  <si>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</si>
  <si>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</si>
  <si>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</si>
  <si>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</si>
  <si>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</si>
  <si>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</si>
  <si>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</si>
  <si>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</si>
  <si>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</si>
  <si>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</si>
  <si>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</si>
  <si>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</si>
  <si>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</si>
  <si>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</si>
  <si>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</si>
  <si>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</si>
  <si>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</si>
  <si>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</si>
  <si>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</si>
  <si>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</si>
  <si>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</si>
  <si>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</si>
  <si>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</si>
  <si>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</si>
  <si>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</si>
  <si>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</si>
  <si>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</si>
  <si>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</si>
  <si>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</si>
  <si>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</si>
  <si>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</si>
  <si>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</si>
  <si>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</si>
  <si>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</si>
  <si>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</si>
  <si>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</si>
  <si>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</si>
  <si>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</si>
  <si>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</si>
  <si>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</si>
  <si>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</si>
  <si>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</si>
  <si>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</si>
  <si>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</si>
  <si>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</si>
  <si>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</si>
  <si>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</si>
  <si>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</si>
  <si>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</si>
  <si>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</si>
  <si>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</si>
  <si>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</si>
  <si>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</si>
  <si>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</si>
  <si>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</si>
  <si>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</si>
  <si>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</si>
  <si>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</si>
  <si>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</si>
  <si>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</si>
  <si>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</si>
  <si>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</si>
  <si>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</si>
  <si>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</si>
  <si>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</si>
  <si>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</si>
  <si>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</si>
  <si>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</si>
  <si>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</si>
  <si>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</si>
  <si>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</si>
  <si>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</si>
  <si>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</si>
  <si>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</si>
  <si>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</si>
  <si>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</si>
  <si>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</si>
  <si>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</si>
  <si>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</si>
  <si>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</si>
  <si>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</si>
  <si>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</si>
  <si>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</si>
  <si>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</si>
  <si>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</si>
  <si>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</si>
  <si>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</si>
  <si>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</si>
  <si>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</si>
  <si>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</si>
  <si>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</si>
  <si>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</si>
  <si>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</si>
  <si>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</si>
  <si>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</si>
  <si>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</si>
  <si>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</si>
  <si>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</si>
  <si>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</si>
  <si>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</si>
  <si>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</si>
  <si>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</si>
  <si>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</si>
  <si>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</si>
  <si>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</si>
  <si>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</si>
  <si>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</si>
  <si>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</si>
  <si>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</si>
  <si>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</si>
  <si>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</si>
  <si>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</si>
  <si>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</si>
  <si>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</si>
  <si>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</si>
  <si>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</si>
  <si>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</si>
  <si>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</si>
  <si>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</si>
  <si>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</si>
  <si>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</si>
  <si>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</si>
  <si>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</si>
  <si>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</si>
  <si>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</si>
  <si>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</si>
  <si>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</si>
  <si>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</si>
  <si>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</si>
  <si>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</si>
  <si>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</si>
  <si>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</si>
  <si>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</si>
  <si>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</si>
  <si>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</si>
  <si>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</si>
  <si>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</si>
  <si>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</si>
  <si>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</si>
  <si>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</si>
  <si>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</si>
  <si>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</si>
  <si>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</si>
  <si>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</si>
  <si>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</si>
  <si>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</si>
  <si>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</si>
  <si>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</si>
  <si>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</si>
  <si>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</si>
  <si>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</si>
  <si>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</si>
  <si>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</si>
  <si>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</si>
  <si>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</si>
  <si>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</si>
  <si>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</si>
  <si>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</si>
  <si>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</si>
  <si>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</si>
  <si>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</si>
  <si>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</si>
  <si>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</si>
  <si>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</si>
  <si>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</si>
  <si>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</si>
  <si>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</si>
  <si>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</si>
  <si>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</si>
  <si>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</si>
  <si>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</si>
  <si>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</si>
  <si>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</si>
  <si>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</si>
  <si>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</si>
  <si>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</si>
  <si>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</si>
  <si>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</si>
  <si>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</si>
  <si>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</si>
  <si>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</si>
  <si>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</si>
  <si>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</si>
  <si>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</si>
  <si>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</si>
  <si>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</si>
  <si>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</si>
  <si>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</si>
  <si>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</si>
  <si>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</si>
  <si>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</si>
  <si>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</si>
  <si>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</si>
  <si>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</si>
  <si>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</si>
  <si>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</si>
  <si>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</si>
  <si>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</si>
  <si>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</si>
  <si>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</si>
  <si>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</si>
  <si>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</si>
  <si>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</si>
  <si>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</si>
  <si>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</si>
  <si>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</si>
  <si>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</si>
  <si>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</si>
  <si>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</si>
  <si>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</si>
  <si>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</si>
  <si>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</si>
  <si>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</si>
  <si>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</si>
  <si>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</si>
  <si>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</si>
  <si>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</si>
  <si>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</si>
  <si>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</si>
  <si>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</si>
  <si>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</si>
  <si>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</si>
  <si>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</si>
  <si>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</si>
  <si>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</si>
  <si>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</si>
  <si>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</si>
  <si>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</si>
  <si>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</si>
  <si>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</si>
  <si>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</si>
  <si>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</si>
  <si>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</si>
  <si>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</si>
  <si>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</si>
  <si>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</si>
  <si>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</si>
  <si>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</si>
  <si>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</si>
  <si>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</si>
  <si>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</si>
  <si>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</si>
  <si>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</si>
  <si>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</si>
  <si>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</si>
  <si>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</si>
  <si>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</si>
  <si>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</si>
  <si>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</si>
  <si>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</si>
  <si>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</si>
  <si>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</si>
  <si>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</si>
  <si>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</si>
  <si>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</si>
  <si>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</si>
  <si>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</si>
  <si>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</si>
  <si>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</si>
  <si>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</si>
  <si>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</si>
  <si>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</si>
  <si>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</si>
  <si>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</si>
  <si>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</si>
  <si>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</si>
  <si>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</si>
  <si>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</si>
  <si>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</si>
  <si>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</si>
  <si>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</si>
  <si>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</si>
  <si>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</si>
  <si>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</si>
  <si>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</si>
  <si>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</si>
  <si>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</si>
  <si>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</si>
  <si>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</si>
  <si>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</si>
  <si>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</si>
  <si>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</si>
  <si>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</si>
  <si>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</si>
  <si>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</si>
  <si>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</si>
  <si>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</si>
  <si>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</si>
  <si>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</si>
  <si>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</si>
  <si>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</si>
  <si>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</si>
  <si>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</si>
  <si>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</si>
  <si>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</si>
  <si>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</si>
  <si>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</si>
  <si>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</si>
  <si>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</si>
  <si>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</si>
  <si>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</si>
  <si>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</si>
  <si>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</si>
  <si>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</si>
  <si>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</si>
  <si>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</si>
  <si>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</si>
  <si>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</si>
  <si>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</si>
  <si>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</si>
  <si>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</si>
  <si>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</si>
  <si>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</si>
  <si>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</si>
  <si>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</si>
  <si>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</si>
  <si>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</si>
  <si>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</si>
  <si>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</si>
  <si>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</si>
  <si>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</si>
  <si>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</si>
  <si>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</si>
  <si>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</si>
  <si>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</si>
  <si>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</si>
  <si>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</si>
  <si>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</si>
  <si>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</si>
  <si>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</si>
  <si>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</si>
  <si>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</si>
  <si>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</si>
  <si>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</si>
  <si>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</si>
  <si>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</si>
  <si>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</si>
  <si>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</si>
  <si>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</si>
  <si>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</si>
  <si>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</si>
  <si>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</si>
  <si>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</si>
  <si>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</si>
  <si>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</si>
  <si>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</si>
  <si>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</si>
  <si>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</si>
  <si>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</si>
  <si>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</si>
  <si>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</si>
  <si>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</si>
  <si>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</si>
  <si>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</si>
  <si>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</si>
  <si>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</si>
  <si>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</si>
  <si>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</si>
  <si>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</si>
  <si>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</si>
  <si>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</si>
  <si>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</si>
  <si>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</si>
  <si>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</si>
  <si>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</si>
  <si>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</si>
  <si>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</si>
  <si>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</si>
  <si>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</si>
  <si>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</si>
  <si>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</si>
  <si>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</si>
  <si>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</si>
  <si>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</si>
  <si>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</si>
  <si>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</si>
  <si>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</si>
  <si>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</si>
  <si>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</si>
  <si>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</si>
  <si>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</si>
  <si>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</si>
  <si>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</si>
  <si>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</si>
  <si>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</si>
  <si>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</si>
  <si>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</si>
  <si>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</si>
  <si>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</si>
  <si>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</si>
  <si>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</si>
  <si>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</si>
  <si>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</si>
  <si>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</si>
  <si>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</si>
  <si>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</si>
  <si>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</si>
  <si>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</si>
  <si>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</si>
  <si>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</si>
  <si>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</si>
  <si>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</si>
  <si>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</si>
  <si>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</si>
  <si>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</si>
  <si>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</si>
  <si>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</si>
  <si>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</si>
  <si>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</si>
  <si>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</si>
  <si>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</si>
  <si>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</si>
  <si>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</si>
  <si>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</si>
  <si>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</si>
  <si>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</si>
  <si>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</si>
  <si>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</si>
  <si>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</si>
  <si>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</si>
  <si>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</si>
  <si>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</si>
  <si>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</si>
  <si>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</si>
  <si>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</si>
  <si>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</si>
  <si>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</si>
  <si>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</si>
  <si>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</si>
  <si>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</si>
  <si>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</si>
  <si>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</si>
  <si>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</si>
  <si>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</si>
  <si>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</si>
  <si>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</si>
  <si>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</si>
  <si>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</si>
  <si>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</si>
  <si>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</si>
  <si>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</si>
  <si>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</si>
  <si>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</si>
  <si>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</si>
  <si>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</si>
  <si>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</si>
  <si>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</si>
  <si>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</si>
  <si>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</si>
  <si>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</si>
  <si>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</si>
  <si>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</si>
  <si>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</si>
  <si>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</si>
  <si>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</si>
  <si>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</si>
  <si>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</si>
  <si>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</si>
  <si>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</si>
  <si>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</si>
  <si>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</si>
  <si>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</si>
  <si>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</si>
  <si>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</si>
  <si>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</si>
  <si>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</si>
  <si>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</si>
  <si>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</si>
  <si>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</si>
  <si>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</si>
  <si>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</si>
  <si>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</si>
  <si>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</si>
  <si>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</si>
  <si>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</si>
  <si>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</si>
  <si>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</si>
  <si>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</si>
  <si>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</si>
  <si>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</si>
  <si>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</si>
  <si>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</si>
  <si>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</si>
  <si>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</si>
  <si>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</si>
  <si>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</si>
  <si>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</si>
  <si>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</si>
  <si>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</si>
  <si>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</si>
  <si>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</si>
  <si>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</si>
  <si>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</si>
  <si>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</si>
  <si>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</si>
  <si>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</si>
  <si>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</si>
  <si>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</si>
  <si>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</si>
  <si>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</si>
  <si>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</si>
  <si>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</si>
  <si>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</si>
  <si>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</si>
  <si>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</si>
  <si>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</si>
  <si>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</si>
  <si>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</si>
  <si>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</si>
  <si>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</si>
  <si>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</si>
  <si>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</si>
  <si>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</si>
  <si>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</si>
  <si>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</si>
  <si>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</si>
  <si>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</si>
  <si>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</si>
  <si>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</si>
  <si>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</si>
  <si>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</si>
  <si>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</si>
  <si>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</si>
  <si>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</si>
  <si>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</si>
  <si>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</si>
  <si>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</si>
  <si>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</si>
  <si>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</si>
  <si>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</si>
  <si>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</si>
  <si>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</si>
  <si>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</si>
  <si>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</si>
  <si>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</si>
  <si>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</si>
  <si>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</si>
  <si>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</si>
  <si>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</si>
  <si>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</si>
  <si>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</si>
  <si>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</si>
  <si>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</si>
  <si>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</si>
  <si>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</si>
  <si>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</si>
  <si>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</si>
  <si>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</si>
  <si>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</si>
  <si>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</si>
  <si>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</si>
  <si>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</si>
  <si>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</si>
  <si>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</si>
  <si>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</si>
  <si>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</si>
  <si>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</si>
  <si>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</si>
  <si>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</si>
  <si>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</si>
  <si>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</si>
  <si>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</si>
  <si>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</si>
  <si>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</si>
  <si>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</si>
  <si>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</si>
  <si>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</si>
  <si>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</si>
  <si>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</si>
  <si>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</si>
  <si>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</si>
  <si>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</si>
  <si>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</si>
  <si>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</si>
  <si>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</si>
  <si>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</si>
  <si>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</si>
  <si>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</si>
  <si>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</si>
  <si>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</si>
  <si>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</si>
  <si>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</si>
  <si>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</si>
  <si>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</si>
  <si>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</si>
  <si>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</si>
  <si>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</si>
  <si>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</si>
  <si>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</si>
  <si>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</si>
  <si>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</si>
  <si>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</si>
  <si>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</si>
  <si>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</si>
  <si>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</si>
  <si>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</si>
  <si>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</si>
  <si>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</si>
  <si>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</si>
  <si>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</si>
  <si>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</si>
  <si>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</si>
  <si>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</si>
  <si>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</si>
  <si>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</si>
  <si>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</si>
  <si>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</si>
  <si>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</si>
  <si>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</si>
  <si>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</si>
  <si>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</si>
  <si>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</si>
  <si>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</si>
  <si>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</si>
  <si>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</si>
  <si>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</si>
  <si>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</si>
  <si>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</si>
  <si>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</si>
  <si>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</si>
  <si>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</si>
  <si>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</si>
  <si>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</si>
  <si>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</si>
  <si>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</si>
  <si>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</si>
  <si>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</si>
  <si>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</si>
  <si>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</si>
  <si>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</si>
  <si>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</si>
  <si>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</si>
  <si>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</si>
  <si>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</si>
  <si>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</si>
  <si>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</si>
  <si>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</si>
  <si>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</si>
  <si>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</si>
  <si>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</si>
  <si>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</si>
  <si>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</si>
  <si>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</si>
  <si>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</si>
  <si>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</si>
  <si>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</si>
  <si>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</si>
  <si>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</si>
  <si>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</si>
  <si>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</si>
  <si>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</si>
  <si>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</si>
  <si>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</si>
  <si>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</si>
  <si>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</si>
  <si>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</si>
  <si>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</si>
  <si>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</si>
  <si>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</si>
  <si>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</si>
  <si>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</si>
  <si>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</si>
  <si>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</si>
  <si>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</si>
  <si>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</si>
  <si>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</si>
  <si>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</si>
  <si>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</si>
  <si>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</si>
  <si>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</si>
  <si>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</si>
  <si>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</si>
  <si>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</si>
  <si>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</si>
  <si>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</si>
  <si>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</si>
  <si>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</si>
  <si>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</si>
  <si>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</si>
  <si>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</si>
  <si>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</si>
  <si>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</si>
  <si>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</si>
  <si>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</si>
  <si>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</si>
  <si>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</si>
  <si>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</si>
  <si>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</si>
  <si>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</si>
  <si>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</si>
  <si>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</si>
  <si>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</si>
  <si>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</si>
  <si>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</si>
  <si>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</si>
  <si>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</si>
  <si>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</si>
  <si>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</si>
  <si>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</si>
  <si>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</si>
  <si>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</si>
  <si>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</si>
  <si>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</si>
  <si>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</si>
  <si>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</si>
  <si>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</si>
  <si>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</si>
  <si>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</si>
  <si>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</si>
  <si>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</si>
  <si>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</si>
  <si>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</si>
  <si>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</si>
  <si>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</si>
  <si>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</si>
  <si>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</si>
  <si>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</si>
  <si>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</si>
  <si>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</si>
  <si>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</si>
  <si>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</si>
  <si>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</si>
  <si>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</si>
  <si>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</si>
  <si>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</si>
  <si>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</si>
  <si>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</si>
  <si>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</si>
  <si>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</si>
  <si>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</si>
  <si>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</si>
  <si>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</si>
  <si>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</si>
  <si>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</si>
  <si>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</si>
  <si>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</si>
  <si>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</si>
  <si>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</si>
  <si>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</si>
  <si>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</si>
  <si>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</si>
  <si>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</si>
  <si>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</si>
  <si>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</si>
  <si>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</si>
  <si>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</si>
  <si>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</si>
  <si>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</si>
  <si>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</si>
  <si>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</si>
  <si>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</si>
  <si>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</si>
  <si>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</si>
  <si>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</si>
  <si>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</si>
  <si>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</si>
  <si>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</si>
  <si>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</si>
  <si>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</si>
  <si>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</si>
  <si>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</si>
  <si>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</si>
  <si>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</si>
  <si>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</si>
  <si>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</si>
  <si>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</si>
  <si>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</si>
  <si>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</si>
  <si>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</si>
  <si>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</si>
  <si>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</si>
  <si>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</si>
  <si>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</si>
  <si>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</si>
  <si>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</si>
  <si>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</si>
  <si>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</si>
  <si>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</si>
  <si>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</si>
  <si>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</si>
  <si>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</si>
  <si>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</si>
  <si>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</si>
  <si>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</si>
  <si>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</si>
  <si>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</si>
  <si>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</si>
  <si>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</si>
  <si>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</si>
  <si>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</si>
  <si>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</si>
  <si>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</si>
  <si>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</si>
  <si>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</si>
  <si>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</si>
  <si>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</si>
  <si>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</si>
  <si>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</si>
  <si>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</si>
  <si>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</si>
  <si>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</si>
  <si>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</si>
  <si>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</si>
  <si>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</si>
  <si>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</si>
  <si>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</si>
  <si>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</si>
  <si>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</si>
  <si>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</si>
  <si>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</si>
  <si>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</si>
  <si>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</si>
  <si>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</si>
  <si>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</si>
  <si>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</si>
  <si>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</si>
  <si>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</si>
  <si>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</si>
  <si>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</si>
  <si>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</si>
  <si>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</si>
  <si>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</si>
  <si>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</si>
  <si>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</si>
  <si>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</si>
  <si>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</si>
  <si>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</si>
  <si>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</si>
  <si>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</si>
  <si>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</si>
  <si>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</si>
  <si>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</si>
  <si>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</si>
  <si>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</si>
  <si>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</si>
  <si>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</si>
  <si>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</si>
  <si>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</si>
  <si>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</si>
  <si>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</si>
  <si>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</si>
  <si>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</si>
  <si>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</si>
  <si>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</si>
  <si>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</si>
  <si>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</si>
  <si>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</si>
  <si>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</si>
  <si>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</si>
  <si>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</si>
  <si>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</si>
  <si>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</si>
  <si>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</si>
  <si>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</si>
  <si>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</si>
  <si>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</si>
  <si>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</si>
  <si>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</si>
  <si>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</si>
  <si>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</si>
  <si>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</si>
  <si>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</si>
  <si>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</si>
  <si>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</si>
  <si>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</si>
  <si>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</si>
  <si>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</si>
  <si>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</si>
  <si>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</si>
  <si>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</si>
  <si>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</si>
  <si>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</si>
  <si>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</si>
  <si>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</si>
  <si>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</si>
  <si>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</si>
  <si>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</si>
  <si>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</si>
  <si>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</si>
  <si>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</si>
  <si>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</si>
  <si>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</si>
  <si>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</si>
  <si>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</si>
  <si>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</si>
  <si>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</si>
  <si>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</si>
  <si>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</si>
  <si>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</si>
  <si>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</si>
  <si>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</si>
  <si>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</si>
  <si>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</si>
  <si>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</si>
  <si>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</si>
  <si>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</si>
  <si>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</si>
  <si>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</si>
  <si>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</si>
  <si>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</si>
  <si>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</si>
  <si>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</si>
  <si>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</si>
  <si>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</si>
  <si>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</si>
  <si>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</si>
  <si>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</si>
  <si>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</si>
  <si>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</si>
  <si>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</si>
  <si>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</si>
  <si>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</si>
  <si>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</si>
  <si>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</si>
  <si>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</si>
  <si>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</si>
  <si>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</si>
  <si>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</si>
  <si>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</si>
  <si>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</si>
  <si>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</si>
  <si>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</si>
  <si>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</si>
  <si>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</si>
  <si>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</si>
  <si>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</si>
  <si>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</si>
  <si>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</si>
  <si>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</si>
  <si>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</si>
  <si>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</si>
  <si>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</si>
  <si>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</si>
  <si>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</si>
  <si>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</si>
  <si>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</si>
  <si>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</si>
  <si>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</si>
  <si>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</si>
  <si>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</si>
  <si>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</si>
  <si>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</si>
  <si>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</si>
  <si>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</si>
  <si>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</si>
  <si>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</si>
  <si>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</si>
  <si>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</si>
  <si>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</si>
  <si>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</si>
  <si>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</si>
  <si>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</si>
  <si>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</si>
  <si>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</si>
  <si>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</si>
  <si>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</si>
  <si>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</si>
  <si>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</si>
  <si>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</si>
  <si>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</si>
  <si>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</si>
  <si>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</si>
  <si>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</si>
  <si>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</si>
  <si>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</si>
  <si>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</si>
  <si>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</si>
  <si>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</si>
  <si>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</si>
  <si>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</si>
  <si>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</si>
  <si>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</si>
  <si>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</si>
  <si>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</si>
  <si>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</si>
  <si>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</si>
  <si>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</si>
  <si>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</si>
  <si>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</si>
  <si>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</si>
  <si>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</si>
  <si>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</si>
  <si>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</si>
  <si>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</si>
  <si>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</si>
  <si>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</si>
  <si>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</si>
  <si>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</si>
  <si>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</si>
  <si>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</si>
  <si>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</si>
  <si>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</si>
  <si>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</si>
  <si>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</si>
  <si>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</si>
  <si>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</si>
  <si>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</si>
  <si>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</si>
  <si>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</si>
  <si>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</si>
  <si>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</si>
  <si>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</si>
  <si>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</si>
  <si>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</si>
  <si>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</si>
  <si>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</si>
  <si>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</si>
  <si>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</si>
  <si>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</si>
  <si>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</si>
  <si>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</si>
  <si>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</si>
  <si>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</si>
  <si>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</si>
  <si>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</si>
  <si>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</si>
  <si>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</si>
  <si>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</si>
  <si>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</si>
  <si>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</si>
  <si>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</si>
  <si>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</si>
  <si>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</si>
  <si>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</si>
  <si>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</si>
  <si>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</si>
  <si>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</si>
  <si>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</si>
  <si>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</si>
  <si>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</si>
  <si>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</si>
  <si>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</si>
  <si>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</si>
  <si>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</si>
  <si>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</si>
  <si>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</si>
  <si>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</si>
  <si>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</si>
  <si>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</si>
  <si>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</si>
  <si>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</si>
  <si>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</si>
  <si>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</si>
  <si>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</si>
  <si>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</si>
  <si>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</si>
  <si>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</si>
  <si>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</si>
  <si>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</si>
  <si>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</si>
  <si>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</si>
  <si>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</si>
  <si>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</si>
  <si>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</si>
  <si>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</si>
  <si>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</si>
  <si>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</si>
  <si>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</si>
  <si>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</si>
  <si>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</si>
  <si>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</si>
  <si>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</si>
  <si>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</si>
  <si>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</si>
  <si>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</si>
  <si>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</si>
  <si>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</si>
  <si>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</si>
  <si>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</si>
  <si>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</si>
  <si>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</si>
  <si>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</si>
  <si>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</si>
  <si>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</si>
  <si>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</si>
  <si>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</si>
  <si>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</si>
  <si>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</si>
  <si>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</si>
  <si>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</si>
  <si>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</si>
  <si>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</si>
  <si>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</si>
  <si>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</si>
  <si>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</si>
  <si>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</si>
  <si>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</si>
  <si>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</si>
  <si>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</si>
  <si>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</si>
  <si>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</si>
  <si>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</si>
  <si>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</si>
  <si>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</si>
  <si>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</si>
  <si>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</si>
  <si>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</si>
  <si>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</si>
  <si>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</si>
  <si>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</si>
  <si>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</si>
  <si>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</si>
  <si>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</si>
  <si>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</si>
  <si>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</si>
  <si>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</si>
  <si>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</si>
  <si>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</si>
  <si>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</si>
  <si>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</si>
  <si>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</si>
  <si>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</si>
  <si>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</si>
  <si>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</si>
  <si>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</si>
  <si>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</si>
  <si>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</si>
  <si>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</si>
  <si>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</si>
  <si>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</si>
  <si>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</si>
  <si>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</si>
  <si>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</si>
  <si>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</si>
  <si>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</si>
  <si>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</si>
  <si>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</si>
  <si>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</si>
  <si>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</si>
  <si>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</si>
  <si>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</si>
  <si>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</si>
  <si>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</si>
  <si>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</si>
  <si>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</si>
  <si>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</si>
  <si>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</si>
  <si>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</si>
  <si>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</si>
  <si>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</si>
  <si>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</si>
  <si>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</si>
  <si>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</si>
  <si>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</si>
  <si>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</si>
  <si>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</si>
  <si>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</si>
  <si>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</si>
  <si>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</si>
  <si>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</si>
  <si>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</si>
  <si>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</si>
  <si>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</si>
  <si>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</si>
  <si>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</si>
  <si>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</si>
  <si>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</si>
  <si>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</si>
  <si>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</si>
  <si>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</si>
  <si>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</si>
  <si>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</si>
  <si>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</si>
  <si>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</si>
  <si>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</si>
  <si>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</si>
  <si>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</si>
  <si>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</si>
  <si>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</si>
  <si>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</si>
  <si>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</si>
  <si>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</si>
  <si>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</si>
  <si>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</si>
  <si>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</si>
  <si>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</si>
  <si>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</si>
  <si>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</si>
  <si>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</si>
  <si>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</si>
  <si>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</si>
  <si>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</si>
  <si>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</si>
  <si>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</si>
  <si>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</si>
  <si>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</si>
  <si>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</si>
  <si>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</si>
  <si>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</si>
  <si>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</si>
  <si>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</si>
  <si>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</si>
  <si>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</si>
  <si>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</si>
  <si>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</si>
  <si>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</si>
  <si>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</si>
  <si>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</si>
  <si>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</si>
  <si>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</si>
  <si>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</si>
  <si>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</si>
  <si>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</si>
  <si>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</si>
  <si>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</si>
  <si>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</si>
  <si>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</si>
  <si>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</si>
  <si>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</si>
  <si>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</si>
  <si>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</si>
  <si>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</si>
  <si>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</si>
  <si>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</si>
  <si>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</si>
  <si>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</si>
  <si>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</si>
  <si>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</si>
  <si>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</si>
  <si>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</si>
  <si>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</si>
  <si>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</si>
  <si>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</si>
  <si>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</si>
  <si>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</si>
  <si>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</si>
  <si>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</si>
  <si>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</si>
  <si>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</si>
  <si>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</si>
  <si>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</si>
  <si>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</si>
  <si>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</si>
  <si>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</si>
  <si>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</si>
  <si>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</si>
  <si>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</si>
  <si>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</si>
  <si>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</si>
  <si>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</si>
  <si>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</si>
  <si>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</si>
  <si>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</si>
  <si>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</si>
  <si>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</si>
  <si>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</si>
  <si>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</si>
  <si>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</si>
  <si>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</si>
  <si>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</si>
  <si>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</si>
  <si>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</si>
  <si>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</si>
  <si>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</si>
  <si>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</si>
  <si>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</si>
  <si>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</si>
  <si>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</si>
  <si>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</si>
  <si>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</si>
  <si>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</si>
  <si>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</si>
  <si>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</si>
  <si>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</si>
  <si>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</si>
  <si>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</si>
  <si>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</si>
  <si>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</si>
  <si>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</si>
  <si>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</si>
  <si>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</si>
  <si>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</si>
  <si>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</si>
  <si>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</si>
  <si>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</si>
  <si>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</si>
  <si>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</si>
  <si>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</si>
  <si>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</si>
  <si>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</si>
  <si>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</si>
  <si>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</si>
  <si>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</si>
  <si>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</si>
  <si>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</si>
  <si>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</si>
  <si>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</si>
  <si>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</si>
  <si>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</si>
  <si>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</si>
  <si>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</si>
  <si>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</si>
  <si>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</si>
  <si>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</si>
  <si>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</si>
  <si>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</si>
  <si>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</si>
  <si>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</si>
  <si>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</si>
  <si>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</si>
  <si>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</si>
  <si>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</si>
  <si>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</si>
  <si>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</si>
  <si>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</si>
  <si>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</si>
  <si>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</si>
  <si>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</si>
  <si>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</si>
  <si>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</si>
  <si>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</si>
  <si>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</si>
  <si>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</si>
  <si>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</si>
  <si>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</si>
  <si>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</si>
  <si>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</si>
  <si>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</si>
  <si>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</si>
  <si>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</si>
  <si>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</si>
  <si>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</si>
  <si>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</si>
  <si>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</si>
  <si>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</si>
  <si>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</si>
  <si>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</si>
  <si>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</si>
  <si>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</si>
  <si>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</si>
  <si>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</si>
  <si>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</si>
  <si>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</si>
  <si>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</si>
  <si>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</si>
  <si>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</si>
  <si>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</si>
  <si>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</si>
  <si>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</si>
  <si>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</si>
  <si>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</si>
  <si>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</si>
  <si>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</si>
  <si>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</si>
  <si>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</si>
  <si>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</si>
  <si>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</si>
  <si>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</si>
  <si>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</si>
  <si>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</si>
  <si>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</si>
  <si>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</si>
  <si>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</si>
  <si>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</si>
  <si>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</si>
  <si>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</si>
  <si>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</si>
  <si>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</si>
  <si>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</si>
  <si>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</si>
  <si>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</si>
  <si>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</si>
  <si>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</si>
  <si>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</si>
  <si>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</si>
  <si>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</si>
  <si>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</si>
  <si>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</si>
  <si>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</si>
  <si>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</si>
  <si>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</si>
  <si>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</si>
  <si>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</si>
  <si>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</si>
  <si>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</si>
  <si>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</si>
  <si>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</si>
  <si>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</si>
  <si>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</si>
  <si>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</si>
  <si>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</si>
  <si>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</si>
  <si>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</si>
  <si>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</si>
  <si>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</si>
  <si>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</si>
  <si>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</si>
  <si>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</si>
  <si>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</si>
  <si>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</si>
  <si>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</si>
  <si>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</si>
  <si>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</si>
  <si>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</si>
  <si>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</si>
  <si>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</si>
  <si>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</si>
  <si>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</si>
  <si>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</si>
  <si>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</si>
  <si>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</si>
  <si>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</si>
  <si>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</si>
  <si>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</si>
  <si>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</si>
  <si>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</si>
  <si>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</si>
  <si>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</si>
  <si>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</si>
  <si>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</si>
  <si>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</si>
  <si>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</si>
  <si>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</si>
  <si>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</si>
  <si>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</si>
  <si>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</si>
  <si>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</si>
  <si>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</si>
  <si>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</si>
  <si>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</si>
  <si>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</si>
  <si>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</si>
  <si>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</si>
  <si>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</si>
  <si>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</si>
  <si>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</si>
  <si>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</si>
  <si>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</si>
  <si>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</si>
  <si>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</si>
  <si>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</si>
  <si>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</si>
  <si>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</si>
  <si>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</si>
  <si>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</si>
  <si>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</si>
  <si>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</si>
  <si>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</si>
  <si>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</si>
  <si>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</si>
  <si>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</si>
  <si>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</si>
  <si>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</si>
  <si>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</si>
  <si>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</si>
  <si>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</si>
  <si>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</si>
  <si>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</si>
  <si>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</si>
  <si>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</si>
  <si>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</si>
  <si>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</si>
  <si>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</si>
  <si>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</si>
  <si>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</si>
  <si>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</si>
  <si>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</si>
  <si>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</si>
  <si>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</si>
  <si>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</si>
  <si>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</si>
  <si>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</si>
  <si>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</si>
  <si>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</si>
  <si>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</si>
  <si>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</si>
  <si>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</si>
  <si>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</si>
  <si>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</si>
  <si>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</si>
  <si>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</si>
  <si>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</si>
  <si>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</si>
  <si>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</si>
  <si>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</si>
  <si>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</si>
  <si>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</si>
  <si>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</si>
  <si>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</si>
  <si>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</si>
  <si>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</si>
  <si>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</si>
  <si>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</si>
  <si>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</si>
  <si>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</si>
  <si>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</si>
  <si>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</si>
  <si>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</si>
  <si>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</si>
  <si>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</si>
  <si>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</si>
  <si>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</si>
  <si>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</si>
  <si>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</si>
  <si>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</si>
  <si>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</si>
  <si>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</si>
  <si>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</si>
  <si>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</si>
  <si>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</si>
  <si>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</si>
  <si>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</si>
  <si>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</si>
  <si>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</si>
  <si>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</si>
  <si>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</si>
  <si>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</si>
  <si>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</si>
  <si>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</si>
  <si>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</si>
  <si>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</si>
  <si>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</si>
  <si>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</si>
  <si>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</si>
  <si>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</si>
  <si>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</si>
  <si>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</si>
  <si>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</si>
  <si>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</si>
  <si>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</si>
  <si>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</si>
  <si>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</si>
  <si>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</si>
  <si>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</si>
  <si>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</si>
  <si>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</si>
  <si>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</si>
  <si>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</si>
  <si>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</si>
  <si>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</si>
  <si>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</si>
  <si>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</si>
  <si>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</si>
  <si>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</si>
  <si>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</si>
  <si>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</si>
  <si>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</si>
  <si>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</si>
  <si>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</si>
  <si>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</si>
  <si>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</si>
  <si>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</si>
  <si>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</si>
  <si>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</si>
  <si>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</si>
  <si>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</si>
  <si>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</si>
  <si>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</si>
  <si>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</si>
  <si>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</si>
  <si>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</si>
  <si>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</si>
  <si>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</si>
  <si>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</si>
  <si>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</si>
  <si>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</si>
  <si>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</si>
  <si>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</si>
  <si>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</si>
  <si>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</si>
  <si>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</si>
  <si>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</si>
  <si>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</si>
  <si>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</si>
  <si>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</si>
  <si>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</si>
  <si>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</si>
  <si>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</si>
  <si>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</si>
  <si>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</si>
  <si>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</si>
  <si>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</si>
  <si>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</si>
  <si>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</si>
  <si>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</si>
  <si>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</si>
  <si>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</si>
  <si>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</si>
  <si>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</si>
  <si>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</si>
  <si>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</si>
  <si>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</si>
  <si>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</si>
  <si>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</si>
  <si>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</si>
  <si>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</si>
  <si>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</si>
  <si>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</si>
  <si>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</si>
  <si>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</si>
  <si>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</si>
  <si>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</si>
  <si>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</si>
  <si>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</si>
  <si>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</si>
  <si>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</si>
  <si>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</si>
  <si>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</si>
  <si>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</si>
  <si>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</si>
  <si>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</si>
  <si>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</si>
  <si>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</si>
  <si>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</si>
  <si>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</si>
  <si>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</si>
  <si>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</si>
  <si>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</si>
  <si>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</si>
  <si>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</si>
  <si>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</si>
  <si>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</si>
  <si>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</si>
  <si>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</si>
  <si>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</si>
  <si>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</si>
  <si>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</si>
  <si>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</si>
  <si>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</si>
  <si>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</si>
  <si>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</si>
  <si>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</si>
  <si>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</si>
  <si>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</si>
  <si>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</si>
  <si>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</si>
  <si>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</si>
  <si>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</si>
  <si>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</si>
  <si>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</si>
  <si>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</si>
  <si>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</si>
  <si>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</si>
  <si>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</si>
  <si>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</si>
  <si>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</si>
  <si>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</si>
  <si>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</si>
  <si>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</si>
  <si>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</si>
  <si>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</si>
  <si>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</si>
  <si>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</si>
  <si>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</si>
  <si>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</si>
  <si>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</si>
  <si>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</si>
  <si>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</si>
  <si>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</si>
  <si>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</si>
  <si>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</si>
  <si>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</si>
  <si>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</si>
  <si>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</si>
  <si>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</si>
  <si>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</si>
  <si>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</si>
  <si>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</si>
  <si>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</si>
  <si>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</si>
  <si>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</si>
  <si>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</si>
  <si>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</si>
  <si>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</si>
  <si>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</si>
  <si>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</si>
  <si>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</si>
  <si>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</si>
  <si>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</si>
  <si>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</si>
  <si>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</si>
  <si>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</si>
  <si>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</si>
  <si>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</si>
  <si>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</si>
  <si>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</si>
  <si>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</si>
  <si>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</si>
  <si>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</si>
  <si>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</si>
  <si>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</si>
  <si>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</si>
  <si>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</si>
  <si>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</si>
  <si>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</si>
  <si>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</si>
  <si>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</si>
  <si>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</si>
  <si>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</si>
  <si>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</si>
  <si>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</si>
  <si>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</si>
  <si>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</si>
  <si>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</si>
  <si>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</si>
  <si>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</si>
  <si>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</si>
  <si>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</si>
  <si>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</si>
  <si>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</si>
  <si>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</si>
  <si>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</si>
  <si>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</si>
  <si>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</si>
  <si>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</si>
  <si>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</si>
  <si>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</si>
  <si>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</si>
  <si>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</si>
  <si>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</si>
  <si>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</si>
  <si>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</si>
  <si>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</si>
  <si>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</si>
  <si>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</si>
  <si>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</si>
  <si>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</si>
  <si>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</si>
  <si>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</si>
  <si>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</si>
  <si>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</si>
  <si>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</si>
  <si>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</si>
  <si>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</si>
  <si>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</si>
  <si>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</si>
  <si>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</si>
  <si>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</si>
  <si>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</si>
  <si>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</si>
  <si>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</si>
  <si>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</si>
  <si>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</si>
  <si>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</si>
  <si>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</si>
  <si>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</si>
  <si>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</si>
  <si>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</si>
  <si>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</si>
  <si>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</si>
  <si>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</si>
  <si>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</si>
  <si>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</si>
  <si>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</si>
  <si>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</si>
  <si>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</si>
  <si>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</si>
  <si>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</si>
  <si>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</si>
  <si>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</si>
  <si>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</si>
  <si>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</si>
  <si>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</si>
  <si>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</si>
  <si>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</si>
  <si>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</si>
  <si>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</si>
  <si>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</si>
  <si>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</si>
  <si>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</si>
  <si>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</si>
  <si>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</si>
  <si>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</si>
  <si>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</si>
  <si>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</si>
  <si>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</si>
  <si>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</si>
  <si>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</si>
  <si>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</si>
  <si>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</si>
  <si>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</si>
  <si>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</si>
  <si>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</si>
  <si>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</si>
  <si>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</si>
  <si>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</si>
  <si>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</si>
  <si>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</si>
  <si>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</si>
  <si>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</si>
  <si>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</si>
  <si>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</si>
  <si>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</si>
  <si>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</si>
  <si>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</si>
  <si>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</si>
  <si>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</si>
  <si>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</si>
  <si>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</si>
  <si>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</si>
  <si>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</si>
  <si>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</si>
  <si>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</si>
  <si>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</si>
  <si>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</si>
  <si>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</si>
  <si>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</si>
  <si>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</si>
  <si>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</si>
  <si>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</si>
  <si>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</si>
  <si>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</si>
  <si>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</si>
  <si>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</si>
  <si>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</si>
  <si>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</si>
  <si>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</si>
  <si>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</si>
  <si>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</si>
  <si>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</si>
  <si>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</si>
  <si>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</si>
  <si>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</si>
  <si>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</si>
  <si>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</si>
  <si>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</si>
  <si>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</si>
  <si>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</si>
  <si>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</si>
  <si>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</si>
  <si>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</si>
  <si>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</si>
  <si>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</si>
  <si>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</si>
  <si>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</si>
  <si>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</si>
  <si>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</si>
  <si>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</si>
  <si>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</si>
  <si>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</si>
  <si>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</si>
  <si>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</si>
  <si>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</si>
  <si>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</si>
  <si>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</si>
  <si>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</si>
  <si>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</si>
  <si>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</si>
  <si>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</si>
  <si>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</si>
  <si>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</si>
  <si>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</si>
  <si>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</si>
  <si>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</si>
  <si>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</si>
  <si>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</si>
  <si>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</si>
  <si>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</si>
  <si>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</si>
  <si>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</si>
  <si>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</si>
  <si>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</si>
  <si>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</si>
  <si>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</si>
  <si>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</si>
  <si>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</si>
  <si>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</si>
  <si>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</si>
  <si>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</si>
  <si>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</si>
  <si>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</si>
  <si>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</si>
  <si>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</si>
  <si>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</si>
  <si>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</si>
  <si>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</si>
  <si>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</si>
  <si>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</si>
  <si>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</si>
  <si>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</si>
  <si>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</si>
  <si>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</si>
  <si>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</si>
  <si>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</si>
  <si>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</si>
  <si>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</si>
  <si>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</si>
  <si>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</si>
  <si>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</si>
  <si>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</si>
  <si>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</si>
  <si>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</si>
  <si>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</si>
  <si>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</si>
  <si>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</si>
  <si>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</si>
  <si>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</si>
  <si>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</si>
  <si>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</si>
  <si>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</si>
  <si>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</si>
  <si>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</si>
  <si>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</si>
  <si>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</si>
  <si>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</si>
  <si>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</si>
  <si>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</si>
  <si>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</si>
  <si>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</si>
  <si>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</si>
  <si>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</si>
  <si>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</si>
  <si>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</si>
  <si>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</si>
  <si>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</si>
  <si>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</si>
  <si>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</si>
  <si>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</si>
  <si>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</si>
  <si>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</si>
  <si>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</si>
  <si>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</si>
  <si>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</si>
  <si>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</si>
  <si>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</si>
  <si>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</si>
  <si>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</si>
  <si>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</si>
  <si>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</si>
  <si>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</si>
  <si>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</si>
  <si>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</si>
  <si>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</si>
  <si>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</si>
  <si>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</si>
  <si>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</si>
  <si>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</si>
  <si>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</si>
  <si>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</si>
  <si>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</si>
  <si>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</si>
  <si>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</si>
  <si>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</si>
  <si>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</si>
  <si>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</si>
  <si>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</si>
  <si>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</si>
  <si>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</si>
  <si>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</si>
  <si>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</si>
  <si>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</si>
  <si>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</si>
  <si>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</si>
  <si>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</si>
  <si>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</si>
  <si>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</si>
  <si>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</si>
  <si>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</si>
  <si>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</si>
  <si>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</si>
  <si>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</si>
  <si>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</si>
  <si>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</si>
  <si>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</si>
  <si>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</si>
  <si>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</si>
  <si>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</si>
  <si>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</si>
  <si>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</si>
  <si>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</si>
  <si>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</si>
  <si>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</si>
  <si>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</si>
  <si>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</si>
  <si>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</si>
  <si>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</si>
  <si>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</si>
  <si>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</si>
  <si>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</si>
  <si>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</si>
  <si>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</si>
  <si>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</si>
  <si>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</si>
  <si>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</si>
  <si>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</si>
  <si>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</si>
  <si>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</si>
  <si>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</si>
  <si>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</si>
  <si>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</si>
  <si>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</si>
  <si>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</si>
  <si>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</si>
  <si>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</si>
  <si>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</si>
  <si>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</si>
  <si>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</si>
  <si>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</si>
  <si>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</si>
  <si>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</si>
  <si>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</si>
  <si>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</si>
  <si>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</si>
  <si>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</si>
  <si>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</si>
  <si>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</si>
  <si>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</si>
  <si>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</si>
  <si>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</si>
  <si>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</si>
  <si>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</si>
  <si>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</si>
  <si>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</si>
  <si>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</si>
  <si>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</si>
  <si>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</si>
  <si>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</si>
  <si>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</si>
  <si>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</si>
  <si>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</si>
  <si>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</si>
  <si>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</si>
  <si>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</si>
  <si>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</si>
  <si>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</si>
  <si>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</si>
  <si>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</si>
  <si>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</si>
  <si>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</si>
  <si>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</si>
  <si>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</si>
  <si>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</si>
  <si>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</si>
  <si>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</si>
  <si>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</si>
  <si>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</si>
  <si>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</si>
  <si>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</si>
  <si>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</si>
  <si>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</si>
  <si>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</si>
  <si>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</si>
  <si>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</si>
  <si>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</si>
  <si>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</si>
  <si>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</si>
  <si>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</si>
  <si>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</si>
  <si>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</si>
  <si>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</si>
  <si>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</si>
  <si>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</si>
  <si>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</si>
  <si>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</si>
  <si>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</si>
  <si>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</si>
  <si>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</si>
  <si>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</si>
  <si>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</si>
  <si>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</si>
  <si>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</si>
  <si>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</si>
  <si>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</si>
  <si>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</si>
  <si>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</si>
  <si>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</si>
  <si>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</si>
  <si>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</si>
  <si>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</si>
  <si>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</si>
  <si>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</si>
  <si>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</si>
  <si>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</si>
  <si>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</si>
  <si>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</si>
  <si>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</si>
  <si>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</si>
  <si>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</si>
  <si>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</si>
  <si>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</si>
  <si>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</si>
  <si>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</si>
  <si>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</si>
  <si>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</si>
  <si>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</si>
  <si>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</si>
  <si>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</si>
  <si>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</si>
  <si>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</si>
  <si>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</si>
  <si>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</si>
  <si>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</si>
  <si>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</si>
  <si>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</si>
  <si>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</si>
  <si>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</si>
  <si>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</si>
  <si>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</si>
  <si>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</si>
  <si>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</si>
  <si>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</si>
  <si>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</si>
  <si>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</si>
  <si>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</si>
  <si>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</si>
  <si>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</si>
  <si>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</si>
  <si>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</si>
  <si>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</si>
  <si>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</si>
  <si>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</si>
  <si>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</si>
  <si>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</si>
  <si>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</si>
  <si>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</si>
  <si>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</si>
  <si>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</si>
  <si>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</si>
  <si>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</si>
  <si>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</si>
  <si>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</si>
  <si>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</si>
  <si>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</si>
  <si>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</si>
  <si>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</si>
  <si>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</si>
  <si>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</si>
  <si>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</si>
  <si>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</si>
  <si>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</si>
  <si>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</si>
  <si>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</si>
  <si>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</si>
  <si>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</si>
  <si>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</si>
  <si>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</si>
  <si>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</si>
  <si>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</si>
  <si>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</si>
  <si>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</si>
  <si>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</si>
  <si>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</si>
  <si>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</si>
  <si>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</si>
  <si>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</si>
  <si>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</si>
  <si>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</si>
  <si>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</si>
  <si>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</si>
  <si>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</si>
  <si>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</si>
  <si>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</si>
  <si>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</si>
  <si>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</si>
  <si>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</si>
  <si>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</si>
  <si>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</si>
  <si>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</si>
  <si>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</si>
  <si>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</si>
  <si>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</si>
  <si>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</si>
  <si>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</si>
  <si>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</si>
  <si>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</si>
  <si>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</si>
  <si>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</si>
  <si>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</si>
  <si>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</si>
  <si>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</si>
  <si>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</si>
  <si>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</si>
  <si>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</si>
  <si>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</si>
  <si>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</si>
  <si>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</si>
  <si>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</si>
  <si>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</si>
  <si>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</si>
  <si>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</si>
  <si>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</si>
  <si>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</si>
  <si>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</si>
  <si>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</si>
  <si>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</si>
  <si>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</si>
  <si>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</si>
  <si>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</si>
  <si>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</si>
  <si>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</si>
  <si>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</si>
  <si>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</si>
  <si>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</si>
  <si>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</si>
  <si>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</si>
  <si>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</si>
  <si>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</si>
  <si>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</si>
  <si>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</si>
  <si>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</si>
  <si>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</si>
  <si>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</si>
  <si>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</si>
  <si>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</si>
  <si>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</si>
  <si>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</si>
  <si>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</si>
  <si>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</si>
  <si>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</si>
  <si>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</si>
  <si>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</si>
  <si>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</si>
  <si>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</si>
  <si>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</si>
  <si>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</si>
  <si>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</si>
  <si>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</si>
  <si>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</si>
  <si>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</si>
  <si>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</si>
  <si>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</si>
  <si>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</si>
  <si>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</si>
  <si>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</si>
  <si>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</si>
  <si>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</si>
  <si>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</si>
  <si>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</si>
  <si>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</si>
  <si>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</si>
  <si>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</si>
  <si>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</si>
  <si>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</si>
  <si>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</si>
  <si>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</si>
  <si>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</si>
  <si>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</si>
  <si>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</si>
  <si>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</si>
  <si>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</si>
  <si>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</si>
  <si>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</si>
  <si>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</si>
  <si>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</si>
  <si>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</si>
  <si>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</si>
  <si>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</si>
  <si>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</si>
  <si>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</si>
  <si>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</si>
  <si>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</si>
  <si>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</si>
  <si>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</si>
  <si>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</si>
  <si>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</si>
  <si>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</si>
  <si>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</si>
  <si>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</si>
  <si>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</si>
  <si>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</si>
  <si>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</si>
  <si>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</si>
  <si>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</si>
  <si>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</si>
  <si>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</si>
  <si>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</si>
  <si>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</si>
  <si>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</si>
  <si>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</si>
  <si>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</si>
  <si>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</si>
  <si>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</si>
  <si>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</si>
  <si>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</si>
  <si>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</si>
  <si>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</si>
  <si>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</si>
  <si>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</si>
  <si>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</si>
  <si>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</si>
  <si>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</si>
  <si>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</si>
  <si>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</si>
  <si>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</si>
  <si>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</si>
  <si>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</si>
  <si>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</si>
  <si>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</si>
  <si>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</si>
  <si>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</si>
  <si>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</si>
  <si>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</si>
  <si>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</si>
  <si>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</si>
  <si>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</si>
  <si>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</si>
  <si>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</si>
  <si>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</si>
  <si>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</si>
  <si>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</si>
  <si>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</si>
  <si>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</si>
  <si>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</si>
  <si>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</si>
  <si>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</si>
  <si>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</si>
  <si>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</si>
  <si>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</si>
  <si>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</si>
  <si>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</si>
  <si>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</si>
  <si>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</si>
  <si>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</si>
  <si>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</si>
  <si>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</si>
  <si>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</si>
  <si>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</si>
  <si>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</si>
  <si>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</si>
  <si>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</si>
  <si>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</si>
  <si>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</si>
  <si>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</si>
  <si>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</si>
  <si>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</si>
  <si>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</si>
  <si>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</si>
  <si>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</si>
  <si>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</si>
  <si>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</si>
  <si>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</si>
  <si>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</si>
  <si>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</si>
  <si>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</si>
  <si>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</si>
  <si>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</si>
  <si>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</si>
  <si>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</si>
  <si>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</si>
  <si>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</si>
  <si>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</si>
  <si>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</si>
  <si>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</si>
  <si>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</si>
  <si>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</si>
  <si>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</si>
  <si>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</si>
  <si>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</si>
  <si>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</si>
  <si>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</si>
  <si>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</si>
  <si>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</si>
  <si>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</si>
  <si>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</si>
  <si>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</si>
  <si>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</si>
  <si>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</si>
  <si>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</si>
  <si>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</si>
  <si>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</si>
  <si>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</si>
  <si>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</si>
  <si>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</si>
  <si>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</si>
  <si>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</si>
  <si>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</si>
  <si>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</si>
  <si>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</si>
  <si>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</si>
  <si>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</si>
  <si>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</si>
  <si>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</si>
  <si>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</si>
  <si>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</si>
  <si>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</si>
  <si>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</si>
  <si>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</si>
  <si>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</si>
  <si>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</si>
  <si>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</si>
  <si>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</si>
  <si>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</si>
  <si>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</si>
  <si>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</si>
  <si>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</si>
  <si>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</si>
  <si>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</si>
  <si>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</si>
  <si>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</si>
  <si>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</si>
  <si>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</si>
  <si>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</si>
  <si>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</si>
  <si>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</si>
  <si>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</si>
  <si>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</si>
  <si>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</si>
  <si>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</si>
  <si>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</si>
  <si>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</si>
  <si>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</si>
  <si>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</si>
  <si>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</si>
  <si>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</si>
  <si>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</si>
  <si>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</si>
  <si>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</si>
  <si>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</si>
  <si>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</si>
  <si>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</si>
  <si>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</si>
  <si>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</si>
  <si>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</si>
  <si>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</si>
  <si>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</si>
  <si>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</si>
  <si>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</si>
  <si>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</si>
  <si>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</si>
  <si>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</si>
  <si>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</si>
  <si>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</si>
  <si>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</si>
  <si>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</si>
  <si>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</si>
  <si>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</si>
  <si>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</si>
  <si>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</si>
  <si>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</si>
  <si>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</si>
  <si>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</si>
  <si>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</si>
  <si>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</si>
  <si>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</si>
  <si>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</si>
  <si>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</si>
  <si>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</si>
  <si>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</si>
  <si>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</si>
  <si>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</si>
  <si>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</si>
  <si>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</si>
  <si>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</si>
  <si>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</si>
  <si>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</si>
  <si>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</si>
  <si>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</si>
  <si>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</si>
  <si>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</si>
  <si>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</si>
  <si>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</si>
  <si>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</si>
  <si>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</si>
  <si>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</si>
  <si>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</si>
  <si>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</si>
  <si>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</si>
  <si>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</si>
  <si>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</si>
  <si>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</si>
  <si>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</si>
  <si>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</si>
  <si>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</si>
  <si>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</si>
  <si>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</si>
  <si>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</si>
  <si>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</si>
  <si>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</si>
  <si>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</si>
  <si>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</si>
  <si>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</si>
  <si>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</si>
  <si>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</si>
  <si>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</si>
  <si>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</si>
  <si>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</si>
  <si>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</si>
  <si>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</si>
  <si>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</si>
  <si>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</si>
  <si>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</si>
  <si>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</si>
  <si>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</si>
  <si>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</si>
  <si>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</si>
  <si>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</si>
  <si>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</si>
  <si>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</si>
  <si>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</si>
  <si>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</si>
  <si>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</si>
  <si>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</si>
  <si>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</si>
  <si>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</si>
  <si>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</si>
  <si>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</si>
  <si>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</si>
  <si>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</si>
  <si>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</si>
  <si>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</si>
  <si>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</si>
  <si>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</si>
  <si>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</si>
  <si>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</si>
  <si>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</si>
  <si>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</si>
  <si>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</si>
  <si>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</si>
  <si>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</si>
  <si>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</si>
  <si>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</si>
  <si>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</si>
  <si>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</si>
  <si>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</si>
  <si>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</si>
  <si>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</si>
  <si>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</si>
  <si>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</si>
  <si>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</si>
  <si>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</si>
  <si>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</si>
  <si>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</si>
  <si>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</si>
  <si>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</si>
  <si>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</si>
  <si>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</si>
  <si>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</si>
  <si>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</si>
  <si>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</si>
  <si>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</si>
  <si>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</si>
  <si>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</si>
  <si>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</si>
  <si>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</si>
  <si>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</si>
  <si>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</si>
  <si>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</si>
  <si>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</si>
  <si>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</si>
  <si>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</si>
  <si>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</si>
  <si>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</si>
  <si>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</si>
  <si>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</si>
  <si>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</si>
  <si>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</si>
  <si>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</si>
  <si>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</si>
  <si>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</si>
  <si>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</si>
  <si>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</si>
  <si>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</si>
  <si>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</si>
  <si>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</si>
  <si>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</si>
  <si>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</si>
  <si>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</si>
  <si>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</si>
  <si>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</si>
  <si>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</si>
  <si>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</si>
  <si>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</si>
  <si>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</si>
  <si>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</si>
  <si>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</si>
  <si>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</si>
  <si>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</si>
  <si>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</si>
  <si>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</si>
  <si>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</si>
  <si>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</si>
  <si>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</si>
  <si>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</si>
  <si>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</si>
  <si>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</si>
  <si>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</si>
  <si>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</si>
  <si>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</si>
  <si>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</si>
  <si>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</si>
  <si>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</si>
  <si>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</si>
  <si>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</si>
  <si>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</si>
  <si>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</si>
  <si>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</si>
  <si>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</si>
  <si>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</si>
  <si>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</si>
  <si>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</si>
  <si>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</si>
  <si>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</si>
  <si>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</si>
  <si>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</si>
  <si>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</si>
  <si>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</si>
  <si>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</si>
  <si>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</si>
  <si>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</si>
  <si>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</si>
  <si>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</si>
  <si>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</si>
  <si>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</si>
  <si>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</si>
  <si>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</si>
  <si>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</si>
  <si>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</si>
  <si>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</si>
  <si>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</si>
  <si>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</si>
  <si>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</si>
  <si>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</si>
  <si>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</si>
  <si>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</si>
  <si>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</si>
  <si>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</si>
  <si>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</si>
  <si>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</si>
  <si>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</si>
  <si>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</si>
  <si>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</si>
  <si>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</si>
  <si>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</si>
  <si>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</si>
  <si>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</si>
  <si>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</si>
  <si>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</si>
  <si>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</si>
  <si>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</si>
  <si>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</si>
  <si>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</si>
  <si>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</si>
  <si>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</si>
  <si>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</si>
  <si>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</si>
  <si>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</si>
  <si>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</si>
  <si>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</si>
  <si>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</si>
  <si>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</si>
  <si>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</si>
  <si>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</si>
  <si>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</si>
  <si>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</si>
  <si>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</si>
  <si>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</si>
  <si>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</si>
  <si>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</si>
  <si>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</si>
  <si>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</si>
  <si>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</si>
  <si>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</si>
  <si>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</si>
  <si>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</si>
  <si>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</si>
  <si>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</si>
  <si>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</si>
  <si>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</si>
  <si>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</si>
  <si>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</si>
  <si>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</si>
  <si>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</si>
  <si>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</si>
  <si>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</si>
  <si>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</si>
  <si>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</si>
  <si>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</si>
  <si>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</si>
  <si>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</si>
  <si>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</si>
  <si>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</si>
  <si>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</si>
  <si>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</si>
  <si>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</si>
  <si>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</si>
  <si>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</si>
  <si>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</si>
  <si>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</si>
  <si>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</si>
  <si>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</si>
  <si>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</si>
  <si>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</si>
  <si>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</si>
  <si>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</si>
  <si>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</si>
  <si>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</si>
  <si>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</si>
  <si>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</si>
  <si>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</si>
  <si>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</si>
  <si>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</si>
  <si>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</si>
  <si>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</si>
  <si>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</si>
  <si>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</si>
  <si>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</si>
  <si>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</si>
  <si>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</si>
  <si>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</si>
  <si>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</si>
  <si>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</si>
  <si>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</si>
  <si>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</si>
  <si>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</si>
  <si>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</si>
  <si>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</si>
  <si>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</si>
  <si>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</si>
  <si>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</si>
  <si>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</si>
  <si>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</si>
  <si>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</si>
  <si>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</si>
  <si>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</si>
  <si>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</si>
  <si>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</si>
  <si>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</si>
  <si>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</si>
  <si>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</si>
  <si>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</si>
  <si>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</si>
  <si>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</si>
  <si>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</si>
  <si>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</si>
  <si>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</si>
  <si>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</si>
  <si>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</si>
  <si>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</si>
  <si>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</si>
  <si>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</si>
  <si>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</si>
  <si>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</si>
  <si>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</si>
  <si>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</si>
  <si>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</si>
  <si>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</si>
  <si>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</si>
  <si>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</si>
  <si>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</si>
  <si>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</si>
  <si>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</si>
  <si>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</si>
  <si>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</si>
  <si>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</si>
  <si>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</si>
  <si>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</si>
  <si>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</si>
  <si>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</si>
  <si>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</si>
  <si>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</si>
  <si>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</si>
  <si>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</si>
  <si>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</si>
  <si>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</si>
  <si>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</si>
  <si>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</si>
  <si>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</si>
  <si>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</si>
  <si>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</si>
  <si>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</si>
  <si>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</si>
  <si>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</si>
  <si>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</si>
  <si>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</si>
  <si>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</si>
  <si>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</si>
  <si>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</si>
  <si>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</si>
  <si>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</si>
  <si>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</si>
  <si>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</si>
  <si>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</si>
  <si>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</si>
  <si>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</si>
  <si>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</si>
  <si>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</si>
  <si>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</si>
  <si>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</si>
  <si>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</si>
  <si>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</si>
  <si>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</si>
  <si>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</si>
  <si>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</si>
  <si>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</si>
  <si>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</si>
  <si>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</si>
  <si>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</si>
  <si>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</si>
  <si>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</si>
  <si>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</si>
  <si>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</si>
  <si>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</si>
  <si>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</si>
  <si>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</si>
  <si>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</si>
  <si>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</si>
  <si>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</si>
  <si>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</si>
  <si>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</si>
  <si>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</si>
  <si>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</si>
  <si>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</si>
  <si>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</si>
  <si>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</si>
  <si>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</si>
  <si>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</si>
  <si>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</si>
  <si>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</si>
  <si>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</si>
  <si>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</si>
  <si>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</si>
  <si>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</si>
  <si>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</si>
  <si>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</si>
  <si>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</si>
  <si>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</si>
  <si>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</si>
  <si>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</si>
  <si>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</si>
  <si>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</si>
  <si>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</si>
  <si>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</si>
  <si>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</si>
  <si>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</si>
  <si>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</si>
  <si>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</si>
  <si>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</si>
  <si>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</si>
  <si>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</si>
  <si>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</si>
  <si>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</si>
  <si>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</si>
  <si>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</si>
  <si>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</si>
  <si>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</si>
  <si>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</si>
  <si>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</si>
  <si>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</si>
  <si>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</si>
  <si>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</si>
  <si>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</si>
  <si>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</si>
  <si>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</si>
  <si>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</si>
  <si>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</si>
  <si>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</si>
  <si>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</si>
  <si>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</si>
  <si>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</si>
  <si>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</si>
  <si>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</si>
  <si>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</si>
  <si>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</si>
  <si>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</si>
  <si>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</si>
  <si>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</si>
  <si>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</si>
  <si>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</si>
  <si>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</si>
  <si>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</si>
  <si>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</si>
  <si>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</si>
  <si>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</si>
  <si>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</si>
  <si>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</si>
  <si>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</si>
  <si>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</si>
  <si>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</si>
  <si>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</si>
  <si>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</si>
  <si>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</si>
  <si>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</si>
  <si>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</si>
  <si>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</si>
  <si>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</si>
  <si>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</si>
  <si>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</si>
  <si>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</si>
  <si>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</si>
  <si>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</si>
  <si>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</si>
  <si>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</si>
  <si>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</si>
  <si>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</si>
  <si>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</si>
  <si>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</si>
  <si>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</si>
  <si>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</si>
  <si>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</si>
  <si>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</si>
  <si>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</si>
  <si>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</si>
  <si>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</si>
  <si>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</si>
  <si>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</si>
  <si>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</si>
  <si>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</si>
  <si>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</si>
  <si>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</si>
  <si>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</si>
  <si>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</si>
  <si>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</si>
  <si>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</si>
  <si>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</si>
  <si>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</si>
  <si>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</si>
  <si>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</si>
  <si>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</si>
  <si>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</si>
  <si>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</si>
  <si>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</si>
  <si>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</si>
  <si>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</si>
  <si>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</si>
  <si>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</si>
  <si>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</si>
  <si>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</si>
  <si>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</si>
  <si>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</si>
  <si>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</si>
  <si>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</si>
  <si>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</si>
  <si>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</si>
  <si>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</si>
  <si>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</si>
  <si>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</si>
  <si>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</si>
  <si>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</si>
  <si>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</si>
  <si>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</si>
  <si>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</si>
  <si>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</si>
  <si>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</si>
  <si>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</si>
  <si>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</si>
  <si>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</si>
  <si>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</si>
  <si>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</si>
  <si>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</si>
  <si>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</si>
  <si>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</si>
  <si>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</si>
  <si>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</si>
  <si>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</si>
  <si>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</si>
  <si>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</si>
  <si>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</si>
  <si>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</si>
  <si>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</si>
  <si>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</si>
  <si>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</si>
  <si>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</si>
  <si>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</si>
  <si>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</si>
  <si>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</si>
  <si>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</si>
  <si>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</si>
  <si>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</si>
  <si>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</si>
  <si>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</si>
  <si>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</si>
  <si>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</si>
  <si>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</si>
  <si>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</si>
  <si>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</si>
  <si>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</si>
  <si>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</si>
  <si>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</si>
  <si>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</si>
  <si>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</si>
  <si>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</si>
  <si>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</si>
  <si>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</si>
  <si>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</si>
  <si>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</si>
  <si>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</si>
  <si>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</si>
  <si>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</si>
  <si>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</si>
  <si>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</si>
  <si>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</si>
  <si>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</si>
  <si>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</si>
  <si>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</si>
  <si>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</si>
  <si>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</si>
  <si>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</si>
  <si>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</si>
  <si>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</si>
  <si>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</si>
  <si>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</si>
  <si>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</si>
  <si>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</si>
  <si>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</si>
  <si>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</si>
  <si>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</si>
  <si>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</si>
  <si>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</si>
  <si>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</si>
  <si>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</si>
  <si>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</si>
  <si>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</si>
  <si>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</si>
  <si>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</si>
  <si>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</si>
  <si>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</si>
  <si>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</si>
  <si>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</si>
  <si>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</si>
  <si>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</si>
  <si>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</si>
  <si>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</si>
  <si>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</si>
  <si>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</si>
  <si>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</si>
  <si>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</si>
  <si>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</si>
  <si>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</si>
  <si>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</si>
  <si>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</si>
  <si>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</si>
  <si>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</si>
  <si>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</si>
  <si>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</si>
  <si>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</si>
  <si>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</si>
  <si>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</si>
  <si>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</si>
  <si>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</si>
  <si>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</si>
  <si>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</si>
  <si>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</si>
  <si>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</si>
  <si>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</si>
  <si>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</si>
  <si>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</si>
  <si>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</si>
  <si>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</si>
  <si>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</si>
  <si>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</si>
  <si>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</si>
  <si>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</si>
  <si>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</si>
  <si>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</si>
  <si>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</si>
  <si>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</si>
  <si>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</si>
  <si>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</si>
  <si>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</si>
  <si>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</si>
  <si>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</si>
  <si>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</si>
  <si>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</si>
  <si>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</si>
  <si>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</si>
  <si>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</si>
  <si>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</si>
  <si>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</si>
  <si>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</si>
  <si>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</si>
  <si>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</si>
  <si>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</si>
  <si>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</si>
  <si>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</si>
  <si>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</si>
  <si>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</si>
  <si>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</si>
  <si>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</si>
  <si>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</si>
  <si>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</si>
  <si>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</si>
  <si>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</si>
  <si>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</si>
  <si>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</si>
  <si>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</si>
  <si>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</si>
  <si>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</si>
  <si>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</si>
  <si>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</si>
  <si>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</si>
  <si>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</si>
  <si>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</si>
  <si>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</si>
  <si>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</si>
  <si>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</si>
  <si>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</si>
  <si>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</si>
  <si>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</si>
  <si>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</si>
  <si>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</si>
  <si>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</si>
  <si>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</si>
  <si>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</si>
  <si>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</si>
  <si>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</si>
  <si>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</si>
  <si>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</si>
  <si>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</si>
  <si>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</si>
  <si>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</si>
  <si>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</si>
  <si>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</si>
  <si>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</si>
  <si>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</si>
  <si>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</si>
  <si>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</si>
  <si>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</si>
  <si>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</si>
  <si>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</si>
  <si>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</si>
  <si>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</si>
  <si>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</si>
  <si>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</si>
  <si>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</si>
  <si>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</si>
  <si>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</si>
  <si>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</si>
  <si>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</si>
  <si>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</si>
  <si>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</si>
  <si>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</si>
  <si>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</si>
  <si>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</si>
  <si>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</si>
  <si>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</si>
  <si>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</si>
  <si>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</si>
  <si>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</si>
  <si>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</si>
  <si>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</si>
  <si>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</si>
  <si>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</si>
  <si>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</si>
  <si>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</si>
  <si>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</si>
  <si>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</si>
  <si>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</si>
  <si>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</si>
  <si>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</si>
  <si>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</si>
  <si>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</si>
  <si>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</si>
  <si>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</si>
  <si>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</si>
  <si>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</si>
  <si>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</si>
  <si>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</si>
  <si>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</si>
  <si>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</si>
  <si>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</si>
  <si>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</si>
  <si>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</si>
  <si>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</si>
  <si>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</si>
  <si>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</si>
  <si>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</si>
  <si>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</si>
  <si>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</si>
  <si>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</si>
  <si>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</si>
  <si>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</si>
  <si>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</si>
  <si>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</si>
  <si>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</si>
  <si>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</si>
  <si>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</si>
  <si>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</si>
  <si>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</si>
  <si>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</si>
  <si>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</si>
  <si>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</si>
  <si>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</si>
  <si>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</si>
  <si>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</si>
  <si>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</si>
  <si>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</si>
  <si>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</si>
  <si>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</si>
  <si>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</si>
  <si>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</si>
  <si>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</si>
  <si>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</si>
  <si>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</si>
  <si>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</si>
  <si>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</si>
  <si>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</si>
  <si>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</si>
  <si>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</si>
  <si>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</si>
  <si>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</si>
  <si>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</si>
  <si>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</si>
  <si>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</si>
  <si>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</si>
  <si>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</si>
  <si>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</si>
  <si>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</si>
  <si>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</si>
  <si>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</si>
  <si>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</si>
  <si>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</si>
  <si>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</si>
  <si>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</si>
  <si>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</si>
  <si>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</si>
  <si>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</si>
  <si>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</si>
  <si>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</si>
  <si>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</si>
  <si>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</si>
  <si>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</si>
  <si>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</si>
  <si>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</si>
  <si>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</si>
  <si>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</si>
  <si>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</si>
  <si>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</si>
  <si>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</si>
  <si>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</si>
  <si>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</si>
  <si>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</si>
  <si>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</si>
  <si>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</si>
  <si>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</si>
  <si>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</si>
  <si>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</si>
  <si>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</si>
  <si>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</si>
  <si>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</si>
  <si>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</si>
  <si>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</si>
  <si>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</si>
  <si>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</si>
  <si>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</si>
  <si>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</si>
  <si>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</si>
  <si>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</si>
  <si>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</si>
  <si>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</si>
  <si>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</si>
  <si>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</si>
  <si>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</si>
  <si>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</si>
  <si>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</si>
  <si>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</si>
  <si>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</si>
  <si>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</si>
  <si>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</si>
  <si>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</si>
  <si>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</si>
  <si>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</si>
  <si>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</si>
  <si>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</si>
  <si>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</si>
  <si>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</si>
  <si>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</si>
  <si>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</si>
  <si>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</si>
  <si>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</si>
  <si>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</si>
  <si>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</si>
  <si>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</si>
  <si>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</si>
  <si>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</si>
  <si>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</si>
  <si>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</si>
  <si>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</si>
  <si>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</si>
  <si>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</si>
  <si>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</si>
  <si>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</si>
  <si>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</si>
  <si>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</si>
  <si>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</si>
  <si>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</si>
  <si>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</si>
  <si>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</si>
  <si>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</si>
  <si>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</si>
  <si>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</si>
  <si>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</si>
  <si>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</si>
  <si>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</si>
  <si>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</si>
  <si>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</si>
  <si>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</si>
  <si>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</si>
  <si>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</si>
  <si>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</si>
  <si>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</si>
  <si>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</si>
  <si>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</si>
  <si>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</si>
  <si>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</si>
  <si>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</si>
  <si>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</si>
  <si>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</si>
  <si>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</si>
  <si>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</si>
  <si>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</si>
  <si>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</si>
  <si>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</si>
  <si>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</si>
  <si>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</si>
  <si>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</si>
  <si>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</si>
  <si>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</si>
  <si>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</si>
  <si>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</si>
  <si>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</si>
  <si>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</si>
  <si>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</si>
  <si>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</si>
  <si>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</si>
  <si>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</si>
  <si>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</si>
  <si>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</si>
  <si>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</si>
  <si>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</si>
  <si>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</si>
  <si>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</si>
  <si>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</si>
  <si>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</si>
  <si>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</si>
  <si>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</si>
  <si>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</si>
  <si>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</si>
  <si>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</si>
  <si>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</si>
  <si>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</si>
  <si>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</si>
  <si>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</si>
  <si>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</si>
  <si>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</si>
  <si>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</si>
  <si>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</si>
  <si>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</si>
  <si>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</si>
  <si>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</si>
  <si>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</si>
  <si>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</si>
  <si>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</si>
  <si>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</si>
  <si>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</si>
  <si>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</si>
  <si>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</si>
  <si>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</si>
  <si>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</si>
  <si>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</si>
  <si>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</si>
  <si>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</si>
  <si>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</si>
  <si>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</si>
  <si>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</si>
  <si>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</si>
  <si>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</si>
  <si>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</si>
  <si>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</si>
  <si>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</si>
  <si>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</si>
  <si>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</si>
  <si>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</si>
  <si>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</si>
  <si>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</si>
  <si>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</si>
  <si>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</si>
  <si>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</si>
  <si>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</si>
  <si>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</si>
  <si>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</si>
  <si>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</si>
  <si>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</si>
  <si>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</si>
  <si>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</si>
  <si>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</si>
  <si>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</si>
  <si>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</si>
  <si>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</si>
  <si>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</si>
  <si>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</si>
  <si>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</si>
  <si>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</si>
  <si>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</si>
  <si>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</si>
  <si>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</si>
  <si>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</si>
  <si>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</si>
  <si>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</si>
  <si>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</si>
  <si>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</si>
  <si>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</si>
  <si>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</si>
  <si>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</si>
  <si>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</si>
  <si>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</si>
  <si>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</si>
  <si>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</si>
  <si>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</si>
  <si>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</si>
  <si>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</si>
  <si>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</si>
  <si>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</si>
  <si>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</si>
  <si>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</si>
  <si>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</si>
  <si>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</si>
  <si>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</si>
  <si>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</si>
  <si>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</si>
  <si>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</si>
  <si>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</si>
  <si>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</si>
  <si>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</si>
  <si>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</si>
  <si>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</si>
  <si>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</si>
  <si>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</si>
  <si>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</si>
  <si>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</si>
  <si>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</si>
  <si>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</si>
  <si>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</si>
  <si>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</si>
  <si>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</si>
  <si>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</si>
  <si>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</si>
  <si>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</si>
  <si>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</si>
  <si>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</si>
  <si>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</si>
  <si>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</si>
  <si>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</si>
  <si>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</si>
  <si>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</si>
  <si>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</si>
  <si>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</si>
  <si>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</si>
  <si>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</si>
  <si>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</si>
  <si>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</si>
  <si>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</si>
  <si>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</si>
  <si>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</si>
  <si>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</si>
  <si>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</si>
  <si>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</si>
  <si>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</si>
  <si>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</si>
  <si>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</si>
  <si>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</si>
  <si>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</si>
  <si>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</si>
  <si>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</si>
  <si>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</si>
  <si>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</si>
  <si>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</si>
  <si>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</si>
  <si>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</si>
  <si>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</si>
  <si>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</si>
  <si>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</si>
  <si>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</si>
  <si>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</si>
  <si>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</si>
  <si>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</si>
  <si>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</si>
  <si>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</si>
  <si>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</si>
  <si>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</si>
  <si>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</si>
  <si>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</si>
  <si>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</si>
  <si>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</si>
  <si>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</si>
  <si>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</si>
  <si>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</si>
  <si>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</si>
  <si>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</si>
  <si>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</si>
  <si>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</si>
  <si>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</si>
  <si>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</si>
  <si>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</si>
  <si>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</si>
  <si>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</si>
  <si>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</si>
  <si>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</si>
  <si>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</si>
  <si>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</si>
  <si>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</si>
  <si>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</si>
  <si>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</si>
  <si>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</si>
  <si>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</si>
  <si>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</si>
  <si>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</si>
  <si>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</si>
  <si>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</si>
  <si>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</si>
  <si>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</si>
  <si>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</si>
  <si>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</si>
  <si>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</si>
  <si>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</si>
  <si>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</si>
  <si>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</si>
  <si>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</si>
  <si>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</si>
  <si>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</si>
  <si>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</si>
  <si>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</si>
  <si>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</si>
  <si>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</si>
  <si>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</si>
  <si>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</si>
  <si>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</si>
  <si>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</si>
  <si>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</si>
  <si>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</si>
  <si>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</si>
  <si>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</si>
  <si>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</si>
  <si>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</si>
  <si>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</si>
  <si>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</si>
  <si>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</si>
  <si>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</si>
  <si>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</si>
  <si>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</si>
  <si>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</si>
  <si>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</si>
  <si>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</si>
  <si>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</si>
  <si>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</si>
  <si>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</si>
  <si>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</si>
  <si>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</si>
  <si>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</si>
  <si>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</si>
  <si>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</si>
  <si>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</si>
  <si>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</si>
  <si>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</si>
  <si>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</si>
  <si>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</si>
  <si>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</si>
  <si>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</si>
  <si>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</si>
  <si>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</si>
  <si>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</si>
  <si>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</si>
  <si>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</si>
  <si>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</si>
  <si>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</si>
  <si>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</si>
  <si>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</si>
  <si>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</si>
  <si>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</si>
  <si>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</si>
  <si>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</si>
  <si>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</si>
  <si>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</si>
  <si>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</si>
  <si>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</si>
  <si>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</si>
  <si>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</si>
  <si>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</si>
  <si>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</si>
  <si>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</si>
  <si>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</si>
  <si>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</si>
  <si>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</si>
  <si>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</si>
  <si>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</si>
  <si>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</si>
  <si>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</si>
  <si>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</si>
  <si>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</si>
  <si>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</si>
  <si>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</si>
  <si>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</si>
  <si>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</si>
  <si>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</si>
  <si>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</si>
  <si>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</si>
  <si>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</si>
  <si>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</si>
  <si>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</si>
  <si>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</si>
  <si>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</si>
  <si>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</si>
  <si>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</si>
  <si>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</si>
  <si>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</si>
  <si>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</si>
  <si>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</si>
  <si>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</si>
  <si>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</si>
  <si>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</si>
  <si>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</si>
  <si>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</si>
  <si>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</si>
  <si>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</si>
  <si>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</si>
  <si>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</si>
  <si>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</si>
  <si>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</si>
  <si>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</si>
  <si>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</si>
  <si>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</si>
  <si>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</si>
  <si>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</si>
  <si>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</si>
  <si>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</si>
  <si>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</si>
  <si>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</si>
  <si>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</si>
  <si>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</si>
  <si>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</si>
  <si>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</si>
  <si>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</si>
  <si>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</si>
  <si>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</si>
  <si>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</si>
  <si>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</si>
  <si>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</si>
  <si>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</si>
  <si>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</si>
  <si>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</si>
  <si>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</si>
  <si>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</si>
  <si>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</si>
  <si>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</si>
  <si>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</si>
  <si>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</si>
  <si>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</si>
  <si>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</si>
  <si>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</si>
  <si>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</si>
  <si>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</si>
  <si>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</si>
  <si>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</si>
  <si>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</si>
  <si>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</si>
  <si>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</si>
  <si>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</si>
  <si>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</si>
  <si>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</si>
  <si>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</si>
  <si>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</si>
  <si>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</si>
  <si>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</si>
  <si>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</si>
  <si>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</si>
  <si>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</si>
  <si>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</si>
  <si>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</si>
  <si>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</si>
  <si>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</si>
  <si>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</si>
  <si>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</si>
  <si>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</si>
  <si>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</si>
  <si>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</si>
  <si>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</si>
  <si>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</si>
  <si>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</si>
  <si>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</si>
  <si>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</si>
  <si>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</si>
  <si>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</si>
  <si>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</si>
  <si>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</si>
  <si>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</si>
  <si>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</si>
  <si>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</si>
  <si>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</si>
  <si>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</si>
  <si>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</si>
  <si>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</si>
  <si>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</si>
  <si>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</si>
  <si>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</si>
  <si>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</si>
  <si>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</si>
  <si>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</si>
  <si>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</si>
  <si>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</si>
  <si>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</si>
  <si>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</si>
  <si>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</si>
  <si>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</si>
  <si>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</si>
  <si>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</si>
  <si>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</si>
  <si>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</si>
  <si>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</si>
  <si>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</si>
  <si>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</si>
  <si>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</si>
  <si>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</si>
  <si>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</si>
  <si>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</si>
  <si>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</si>
  <si>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</si>
  <si>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</si>
  <si>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</si>
  <si>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</si>
  <si>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</si>
  <si>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</si>
  <si>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</si>
  <si>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</si>
  <si>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</si>
  <si>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</si>
  <si>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</si>
  <si>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</si>
  <si>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</si>
  <si>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</si>
  <si>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</si>
  <si>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</si>
  <si>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</si>
  <si>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</si>
  <si>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</si>
  <si>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</si>
  <si>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</si>
  <si>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</si>
  <si>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</si>
  <si>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</si>
  <si>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</si>
  <si>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</si>
  <si>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</si>
  <si>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</si>
  <si>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</si>
  <si>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</si>
  <si>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</si>
  <si>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</si>
  <si>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</si>
  <si>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</si>
  <si>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</si>
  <si>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</si>
  <si>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</si>
  <si>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</si>
  <si>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</si>
  <si>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</si>
  <si>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</si>
  <si>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</si>
  <si>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</si>
  <si>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</si>
  <si>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</si>
  <si>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</si>
  <si>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</si>
  <si>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</si>
  <si>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</si>
  <si>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</si>
  <si>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</si>
  <si>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</si>
  <si>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</si>
  <si>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</si>
  <si>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</si>
  <si>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</si>
  <si>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</si>
  <si>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</si>
  <si>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</si>
  <si>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</si>
  <si>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</si>
  <si>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</si>
  <si>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</si>
  <si>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</si>
  <si>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</si>
  <si>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</si>
  <si>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</si>
  <si>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</si>
  <si>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</si>
  <si>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</si>
  <si>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</si>
  <si>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</si>
  <si>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</si>
  <si>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</si>
  <si>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</si>
  <si>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</si>
  <si>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</si>
  <si>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</si>
  <si>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</si>
  <si>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</si>
  <si>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</si>
  <si>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</si>
  <si>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</si>
  <si>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</si>
  <si>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</si>
  <si>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</si>
  <si>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</si>
  <si>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</si>
  <si>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</si>
  <si>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</si>
  <si>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</si>
  <si>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</si>
  <si>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</si>
  <si>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</si>
  <si>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</si>
  <si>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</si>
  <si>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</si>
  <si>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</si>
  <si>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</si>
  <si>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</si>
  <si>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</si>
  <si>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</si>
  <si>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</si>
  <si>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</si>
  <si>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</si>
  <si>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</si>
  <si>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</si>
  <si>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</si>
  <si>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</si>
  <si>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</si>
  <si>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</si>
  <si>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</si>
  <si>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</si>
  <si>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</si>
  <si>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</si>
  <si>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</si>
  <si>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</si>
  <si>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</si>
  <si>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</si>
  <si>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</si>
  <si>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</si>
  <si>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</si>
  <si>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</si>
  <si>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</si>
  <si>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</si>
  <si>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</si>
  <si>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</si>
  <si>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</si>
  <si>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</si>
  <si>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</si>
  <si>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</si>
  <si>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</si>
  <si>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</si>
  <si>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</si>
  <si>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</si>
  <si>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</si>
  <si>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</si>
  <si>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</si>
  <si>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</si>
  <si>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</si>
  <si>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</si>
  <si>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</si>
  <si>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</si>
  <si>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</si>
  <si>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</si>
  <si>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</si>
  <si>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</si>
  <si>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</si>
  <si>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</si>
  <si>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</si>
  <si>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</si>
  <si>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</si>
  <si>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</si>
  <si>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</si>
  <si>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</si>
  <si>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</si>
  <si>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</si>
  <si>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</si>
  <si>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</si>
  <si>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</si>
  <si>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</si>
  <si>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</si>
  <si>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</si>
  <si>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</si>
  <si>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</si>
  <si>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</si>
  <si>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</si>
  <si>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</si>
  <si>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</si>
  <si>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</si>
  <si>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</si>
  <si>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</si>
  <si>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</si>
  <si>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</si>
  <si>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</si>
  <si>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</si>
  <si>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</si>
  <si>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</si>
  <si>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</si>
  <si>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</si>
  <si>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</si>
  <si>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</si>
  <si>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</si>
  <si>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</si>
  <si>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</si>
  <si>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</si>
  <si>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</si>
  <si>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</si>
  <si>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</si>
  <si>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</si>
  <si>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</si>
  <si>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</si>
  <si>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</si>
  <si>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</si>
  <si>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</si>
  <si>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</si>
  <si>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</si>
  <si>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</si>
  <si>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</si>
  <si>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</si>
  <si>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</si>
  <si>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</si>
  <si>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</si>
  <si>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</si>
  <si>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</si>
  <si>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</si>
  <si>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</si>
  <si>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</si>
  <si>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</si>
  <si>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</si>
  <si>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</si>
  <si>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</si>
  <si>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</si>
  <si>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</si>
  <si>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</si>
  <si>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</si>
  <si>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</si>
  <si>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</si>
  <si>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</si>
  <si>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</si>
  <si>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</si>
  <si>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</si>
  <si>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</si>
  <si>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</si>
  <si>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</si>
  <si>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</si>
  <si>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</si>
  <si>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</si>
  <si>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</si>
  <si>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</si>
  <si>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</si>
  <si>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</si>
  <si>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</si>
  <si>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</si>
  <si>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</si>
  <si>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</si>
  <si>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</si>
  <si>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</si>
  <si>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</si>
  <si>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</si>
  <si>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</si>
  <si>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</si>
  <si>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</si>
  <si>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</si>
  <si>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</si>
  <si>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</si>
  <si>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</si>
  <si>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</si>
  <si>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</si>
  <si>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</si>
  <si>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</si>
  <si>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</si>
  <si>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</si>
  <si>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</si>
  <si>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</si>
  <si>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</si>
  <si>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</si>
  <si>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</si>
  <si>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</si>
  <si>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</si>
  <si>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</si>
  <si>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</si>
  <si>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</si>
  <si>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</si>
  <si>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</si>
  <si>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</si>
  <si>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</si>
  <si>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</si>
  <si>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</si>
  <si>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</si>
  <si>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</si>
  <si>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</si>
  <si>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</si>
  <si>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</si>
  <si>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</si>
  <si>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</si>
  <si>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</si>
  <si>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</si>
  <si>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</si>
  <si>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</si>
  <si>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</si>
  <si>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</si>
  <si>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</si>
  <si>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</si>
  <si>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</si>
  <si>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</si>
  <si>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</si>
  <si>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</si>
  <si>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</si>
  <si>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</si>
  <si>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</si>
  <si>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</si>
  <si>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</si>
  <si>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</si>
  <si>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</si>
  <si>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</si>
  <si>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</si>
  <si>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</si>
  <si>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</si>
  <si>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</si>
  <si>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</si>
  <si>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</si>
  <si>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</si>
  <si>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</si>
  <si>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</si>
  <si>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</si>
  <si>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</si>
  <si>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</si>
  <si>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</si>
  <si>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</si>
  <si>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</si>
  <si>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</si>
  <si>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</si>
  <si>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</si>
  <si>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</si>
  <si>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</si>
  <si>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</si>
  <si>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</si>
  <si>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</si>
  <si>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</si>
  <si>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</si>
  <si>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</si>
  <si>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</si>
  <si>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</si>
  <si>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</si>
  <si>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</si>
  <si>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</si>
  <si>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</si>
  <si>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</si>
  <si>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</si>
  <si>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</si>
  <si>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</si>
  <si>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</si>
  <si>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</si>
  <si>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</si>
  <si>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</si>
  <si>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</si>
  <si>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</si>
  <si>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</si>
  <si>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</si>
  <si>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</si>
  <si>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</si>
  <si>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</si>
  <si>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</si>
  <si>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</si>
  <si>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</si>
  <si>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</si>
  <si>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</si>
  <si>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</si>
  <si>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</si>
  <si>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</si>
  <si>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</si>
  <si>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</si>
  <si>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</si>
  <si>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</si>
  <si>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</si>
  <si>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</si>
  <si>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</si>
  <si>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</si>
  <si>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</si>
  <si>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</si>
  <si>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</si>
  <si>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</si>
  <si>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</si>
  <si>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</si>
  <si>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</si>
  <si>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</si>
  <si>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</si>
  <si>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</si>
  <si>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</si>
  <si>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</si>
  <si>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</si>
  <si>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</si>
  <si>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</si>
  <si>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</si>
  <si>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</si>
  <si>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</si>
  <si>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</si>
  <si>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</si>
  <si>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</si>
  <si>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</si>
  <si>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</si>
  <si>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</si>
  <si>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</si>
  <si>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</si>
  <si>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</si>
  <si>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</si>
  <si>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</si>
  <si>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</si>
  <si>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</si>
  <si>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</si>
  <si>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</si>
  <si>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</si>
  <si>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</si>
  <si>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</si>
  <si>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</si>
  <si>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</si>
  <si>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</si>
  <si>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</si>
  <si>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</si>
  <si>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</si>
  <si>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</si>
  <si>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</si>
  <si>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</si>
  <si>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</si>
  <si>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</si>
  <si>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</si>
  <si>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</si>
  <si>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</si>
  <si>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</si>
  <si>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</si>
  <si>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</si>
  <si>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</si>
  <si>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</si>
  <si>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</si>
  <si>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</si>
  <si>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</si>
  <si>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</si>
  <si>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</si>
  <si>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</si>
  <si>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</si>
  <si>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</si>
  <si>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</si>
  <si>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</si>
  <si>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</si>
  <si>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</si>
  <si>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</si>
  <si>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</si>
  <si>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</si>
  <si>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</si>
  <si>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</si>
  <si>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</si>
  <si>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</si>
  <si>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</si>
  <si>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</si>
  <si>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</si>
  <si>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</si>
  <si>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</si>
  <si>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</si>
  <si>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</si>
  <si>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</si>
  <si>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</si>
  <si>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</si>
  <si>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</si>
  <si>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</si>
  <si>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</si>
  <si>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</si>
  <si>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</si>
  <si>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</si>
  <si>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</si>
  <si>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</si>
  <si>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</si>
  <si>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</si>
  <si>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</si>
  <si>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</si>
  <si>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</si>
  <si>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</si>
  <si>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</si>
  <si>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</si>
  <si>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</si>
  <si>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</si>
  <si>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</si>
  <si>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</si>
  <si>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</si>
  <si>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</si>
  <si>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</si>
  <si>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</si>
  <si>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</si>
  <si>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</si>
  <si>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</si>
  <si>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</si>
  <si>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</si>
  <si>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</si>
  <si>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</si>
  <si>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</si>
  <si>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</si>
  <si>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</si>
  <si>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</si>
  <si>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</si>
  <si>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</si>
  <si>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</si>
  <si>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</si>
  <si>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</si>
  <si>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</si>
  <si>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</si>
  <si>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</si>
  <si>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</si>
  <si>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</si>
  <si>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</si>
  <si>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</si>
  <si>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</si>
  <si>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</si>
  <si>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</si>
  <si>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</si>
  <si>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</si>
  <si>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</si>
  <si>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</si>
  <si>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</si>
  <si>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</si>
  <si>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</si>
  <si>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</si>
  <si>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</si>
  <si>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</si>
  <si>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</si>
  <si>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</si>
  <si>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</si>
  <si>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</si>
  <si>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</si>
  <si>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</si>
  <si>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</si>
  <si>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</si>
  <si>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</si>
  <si>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</si>
  <si>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</si>
  <si>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</si>
  <si>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</si>
  <si>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</si>
  <si>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</si>
  <si>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</si>
  <si>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</si>
  <si>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</si>
  <si>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</si>
  <si>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</si>
  <si>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</si>
  <si>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</si>
  <si>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</si>
  <si>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</si>
  <si>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</si>
  <si>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</si>
  <si>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</si>
  <si>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</si>
  <si>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</si>
  <si>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</si>
  <si>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</si>
  <si>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</si>
  <si>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</si>
  <si>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</si>
  <si>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</si>
  <si>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</si>
  <si>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</si>
  <si>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</si>
  <si>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</si>
  <si>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</si>
  <si>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</si>
  <si>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</si>
  <si>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</si>
  <si>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</si>
  <si>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</si>
  <si>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</si>
  <si>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</si>
  <si>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</si>
  <si>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</si>
  <si>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</si>
  <si>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</si>
  <si>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</si>
  <si>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</si>
  <si>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</si>
  <si>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</si>
  <si>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</si>
  <si>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</si>
  <si>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</si>
  <si>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</si>
  <si>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</si>
  <si>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</si>
  <si>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</si>
  <si>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</si>
  <si>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</si>
  <si>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</si>
  <si>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</si>
  <si>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</si>
  <si>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</si>
  <si>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</si>
  <si>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</si>
  <si>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</si>
  <si>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</si>
  <si>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</si>
  <si>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</si>
  <si>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</si>
  <si>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</si>
  <si>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</si>
  <si>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</si>
  <si>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</si>
  <si>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</si>
  <si>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</si>
  <si>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</si>
  <si>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</si>
  <si>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</si>
  <si>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</si>
  <si>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</si>
  <si>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</si>
  <si>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</si>
  <si>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</si>
  <si>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</si>
  <si>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</si>
  <si>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</si>
  <si>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</si>
  <si>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</si>
  <si>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</si>
  <si>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</si>
  <si>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</si>
  <si>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</si>
  <si>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</si>
  <si>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</si>
  <si>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</si>
  <si>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</si>
  <si>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</si>
  <si>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</si>
  <si>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</si>
  <si>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</si>
  <si>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</si>
  <si>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</si>
  <si>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</si>
  <si>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</si>
  <si>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</si>
  <si>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</si>
  <si>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</si>
  <si>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</si>
  <si>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</si>
  <si>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</si>
  <si>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</si>
  <si>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</si>
  <si>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</si>
  <si>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</si>
  <si>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</si>
  <si>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</si>
  <si>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</si>
  <si>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</si>
  <si>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</si>
  <si>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</si>
  <si>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</si>
  <si>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</si>
  <si>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</si>
  <si>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</si>
  <si>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</si>
  <si>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</si>
  <si>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</si>
  <si>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</si>
  <si>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</si>
  <si>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</si>
  <si>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</si>
  <si>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</si>
  <si>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</si>
  <si>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</si>
  <si>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</si>
  <si>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</si>
  <si>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</si>
  <si>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</si>
  <si>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</si>
  <si>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</si>
  <si>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</si>
  <si>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</si>
  <si>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</si>
  <si>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</si>
  <si>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</si>
  <si>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</si>
  <si>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</si>
  <si>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</si>
  <si>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</si>
  <si>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</si>
  <si>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</si>
  <si>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</si>
  <si>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</si>
  <si>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</si>
  <si>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</si>
  <si>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</si>
  <si>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</si>
  <si>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</si>
  <si>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</si>
  <si>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</si>
  <si>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</si>
  <si>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</si>
  <si>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</si>
  <si>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</si>
  <si>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</si>
  <si>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</si>
  <si>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</si>
  <si>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</si>
  <si>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</si>
  <si>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</si>
  <si>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</si>
  <si>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</si>
  <si>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</si>
  <si>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</si>
  <si>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</si>
  <si>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</si>
  <si>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</si>
  <si>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</si>
  <si>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</si>
  <si>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</si>
  <si>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</si>
  <si>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</si>
  <si>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</si>
  <si>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</si>
  <si>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</si>
  <si>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</si>
  <si>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</si>
  <si>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</si>
  <si>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</si>
  <si>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</si>
  <si>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</si>
  <si>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</si>
  <si>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</si>
  <si>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</si>
  <si>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</si>
  <si>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</si>
  <si>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</si>
  <si>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</si>
  <si>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</si>
  <si>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</si>
  <si>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</si>
  <si>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</si>
  <si>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</si>
  <si>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</si>
  <si>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</si>
  <si>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</si>
  <si>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</si>
  <si>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</si>
  <si>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</si>
  <si>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</si>
  <si>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</si>
  <si>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</si>
  <si>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</si>
  <si>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</si>
  <si>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</si>
  <si>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</si>
  <si>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</si>
  <si>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</si>
  <si>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</si>
  <si>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</si>
  <si>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</si>
  <si>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</si>
  <si>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</si>
  <si>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</si>
  <si>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</si>
  <si>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</si>
  <si>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</si>
  <si>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</si>
  <si>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</si>
  <si>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</si>
  <si>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</si>
  <si>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</si>
  <si>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</si>
  <si>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</si>
  <si>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</si>
  <si>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</si>
  <si>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</si>
  <si>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</si>
  <si>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</si>
  <si>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</si>
  <si>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</si>
  <si>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</si>
  <si>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</si>
  <si>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</si>
  <si>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</si>
  <si>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</si>
  <si>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</si>
  <si>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</si>
  <si>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</si>
  <si>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</si>
  <si>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</si>
  <si>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</si>
  <si>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</si>
  <si>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</si>
  <si>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</si>
  <si>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</si>
  <si>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</si>
  <si>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</si>
  <si>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</si>
  <si>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</si>
  <si>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</si>
  <si>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</si>
  <si>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</si>
  <si>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</si>
  <si>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</si>
  <si>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</si>
  <si>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</si>
  <si>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</si>
  <si>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</si>
  <si>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</si>
  <si>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</si>
  <si>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</si>
  <si>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</si>
  <si>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</si>
  <si>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</si>
  <si>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</si>
  <si>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</si>
  <si>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</si>
  <si>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</si>
  <si>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</si>
  <si>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</si>
  <si>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</si>
  <si>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</si>
  <si>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</si>
  <si>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</si>
  <si>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</si>
  <si>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</si>
  <si>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</si>
  <si>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</si>
  <si>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</si>
  <si>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</si>
  <si>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</si>
  <si>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</si>
  <si>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</si>
  <si>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</si>
  <si>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</si>
  <si>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</si>
  <si>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</si>
  <si>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</si>
  <si>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</si>
  <si>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</si>
  <si>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</si>
  <si>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</si>
  <si>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</si>
  <si>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</si>
  <si>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</si>
  <si>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</si>
  <si>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</si>
  <si>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</si>
  <si>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</si>
  <si>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</si>
  <si>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</si>
  <si>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</si>
  <si>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</si>
  <si>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</si>
  <si>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</si>
  <si>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</si>
  <si>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</si>
  <si>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</si>
  <si>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</si>
  <si>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</si>
  <si>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</si>
  <si>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</si>
  <si>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</si>
  <si>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</si>
  <si>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</si>
  <si>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</si>
  <si>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</si>
  <si>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</si>
  <si>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</si>
  <si>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</si>
  <si>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</si>
  <si>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</si>
  <si>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</si>
  <si>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</si>
  <si>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</si>
  <si>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</si>
  <si>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</si>
  <si>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</si>
  <si>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</si>
  <si>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</si>
  <si>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</si>
  <si>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</si>
  <si>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</si>
  <si>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</si>
  <si>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</si>
  <si>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</si>
  <si>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</si>
  <si>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</si>
  <si>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</si>
  <si>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</si>
  <si>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</si>
  <si>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</si>
  <si>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</si>
  <si>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</si>
  <si>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</si>
  <si>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</si>
  <si>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</si>
  <si>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</si>
  <si>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</si>
  <si>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</si>
  <si>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</si>
  <si>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</si>
  <si>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</si>
  <si>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</si>
  <si>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</si>
  <si>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</si>
  <si>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</si>
  <si>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</si>
  <si>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</si>
  <si>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</si>
  <si>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</si>
  <si>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</si>
  <si>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</si>
  <si>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</si>
  <si>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</si>
  <si>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</si>
  <si>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</si>
  <si>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</si>
  <si>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</si>
  <si>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</si>
  <si>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</si>
  <si>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</si>
  <si>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</si>
  <si>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</si>
  <si>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</si>
  <si>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</si>
  <si>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</si>
  <si>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</si>
  <si>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</si>
  <si>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</si>
  <si>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</si>
  <si>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</si>
  <si>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</si>
  <si>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</si>
  <si>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</si>
  <si>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</si>
  <si>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</si>
  <si>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</si>
  <si>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</si>
  <si>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</si>
  <si>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</si>
  <si>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</si>
  <si>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</si>
  <si>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</si>
  <si>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</si>
  <si>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</si>
  <si>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</si>
  <si>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</si>
  <si>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</si>
  <si>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</si>
  <si>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</si>
  <si>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</si>
  <si>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</si>
  <si>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</si>
  <si>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</si>
  <si>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</si>
  <si>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</si>
  <si>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</si>
  <si>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</si>
  <si>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</si>
  <si>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</si>
  <si>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</si>
  <si>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</si>
  <si>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</si>
  <si>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</si>
  <si>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</si>
  <si>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</si>
  <si>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</si>
  <si>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</si>
  <si>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</si>
  <si>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</si>
  <si>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</si>
  <si>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</si>
  <si>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</si>
  <si>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</si>
  <si>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</si>
  <si>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</si>
  <si>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</si>
  <si>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</si>
  <si>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</si>
  <si>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</si>
  <si>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</si>
  <si>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</si>
  <si>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</si>
  <si>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</si>
  <si>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</si>
  <si>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</si>
  <si>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</si>
  <si>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</si>
  <si>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</si>
  <si>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</si>
  <si>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</si>
  <si>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</si>
  <si>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</si>
  <si>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</si>
  <si>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</si>
  <si>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</si>
  <si>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</si>
  <si>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</si>
  <si>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</si>
  <si>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</si>
  <si>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</si>
  <si>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</si>
  <si>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</si>
  <si>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</si>
  <si>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</si>
  <si>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</si>
  <si>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</si>
  <si>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</si>
  <si>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</si>
  <si>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</si>
  <si>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</si>
  <si>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</si>
  <si>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</si>
  <si>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</si>
  <si>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</si>
  <si>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</si>
  <si>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</si>
  <si>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</si>
  <si>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</si>
  <si>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</si>
  <si>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</si>
  <si>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</si>
  <si>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</si>
  <si>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</si>
  <si>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</si>
  <si>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</si>
  <si>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</si>
  <si>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</si>
  <si>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</si>
  <si>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</si>
  <si>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</si>
  <si>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</si>
  <si>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</si>
  <si>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</si>
  <si>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</si>
  <si>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</si>
  <si>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</si>
  <si>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</si>
  <si>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</si>
  <si>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</si>
  <si>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</si>
  <si>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</si>
  <si>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</si>
  <si>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</si>
  <si>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</si>
  <si>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</si>
  <si>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</si>
  <si>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</si>
  <si>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</si>
  <si>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</si>
  <si>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</si>
  <si>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</si>
  <si>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</si>
  <si>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</si>
  <si>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</si>
  <si>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</si>
  <si>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</si>
  <si>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</si>
  <si>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</si>
  <si>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</si>
  <si>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</si>
  <si>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</si>
  <si>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</si>
  <si>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</si>
  <si>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</si>
  <si>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</si>
  <si>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</si>
  <si>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</si>
  <si>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</si>
  <si>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</si>
  <si>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</si>
  <si>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</si>
  <si>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</si>
  <si>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</si>
  <si>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</si>
  <si>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</si>
  <si>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</si>
  <si>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</si>
  <si>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</si>
  <si>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</si>
  <si>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</si>
  <si>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</si>
  <si>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</si>
  <si>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</si>
  <si>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</si>
  <si>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</si>
  <si>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</si>
  <si>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</si>
  <si>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</si>
  <si>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</si>
  <si>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</si>
  <si>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</si>
  <si>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</si>
  <si>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</si>
  <si>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</si>
  <si>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</si>
  <si>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</si>
  <si>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</si>
  <si>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</si>
  <si>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</si>
  <si>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</si>
  <si>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</si>
  <si>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</si>
  <si>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</si>
  <si>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</si>
  <si>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</si>
  <si>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</si>
  <si>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</si>
  <si>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</si>
  <si>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</si>
  <si>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</si>
  <si>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</si>
  <si>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</si>
  <si>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</si>
  <si>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</si>
  <si>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</si>
  <si>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</si>
  <si>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</si>
  <si>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</si>
  <si>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</si>
  <si>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</si>
  <si>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</si>
  <si>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</si>
  <si>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</si>
  <si>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</si>
  <si>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</si>
  <si>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</si>
  <si>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</si>
  <si>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</si>
  <si>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</si>
  <si>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</si>
  <si>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</si>
  <si>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</si>
  <si>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</si>
  <si>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</si>
  <si>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</si>
  <si>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</si>
  <si>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</si>
  <si>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</si>
  <si>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</si>
  <si>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</si>
  <si>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</si>
  <si>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</si>
  <si>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</si>
  <si>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</si>
  <si>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</si>
  <si>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</si>
  <si>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</si>
  <si>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</si>
  <si>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</si>
  <si>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</si>
  <si>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</si>
  <si>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</si>
  <si>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</si>
  <si>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</si>
  <si>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</si>
  <si>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</si>
  <si>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</si>
  <si>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</si>
  <si>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</si>
  <si>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</si>
  <si>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</si>
  <si>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</si>
  <si>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</si>
  <si>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</si>
  <si>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</si>
  <si>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</si>
  <si>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</si>
  <si>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</si>
  <si>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</si>
  <si>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</si>
  <si>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</si>
  <si>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</si>
  <si>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</si>
  <si>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</si>
  <si>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</si>
  <si>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</si>
  <si>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</si>
  <si>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</si>
  <si>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</si>
  <si>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</si>
  <si>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</si>
  <si>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</si>
  <si>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</si>
  <si>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</si>
  <si>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</si>
  <si>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</si>
  <si>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</si>
  <si>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</si>
  <si>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</si>
  <si>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</si>
  <si>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</si>
  <si>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</si>
  <si>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</si>
  <si>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</si>
  <si>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</si>
  <si>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</si>
  <si>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</si>
  <si>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</si>
  <si>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</si>
  <si>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</si>
  <si>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</si>
  <si>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</si>
  <si>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</si>
  <si>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</si>
  <si>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</si>
  <si>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</si>
  <si>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</si>
  <si>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</si>
  <si>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</si>
  <si>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</si>
  <si>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</si>
  <si>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</si>
  <si>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</si>
  <si>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</si>
  <si>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</si>
  <si>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</si>
  <si>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</si>
  <si>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</si>
  <si>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</si>
  <si>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</si>
  <si>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</si>
  <si>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</si>
  <si>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</si>
  <si>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</si>
  <si>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</si>
  <si>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</si>
  <si>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</si>
  <si>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</si>
  <si>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</si>
  <si>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</si>
  <si>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</si>
  <si>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</si>
  <si>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</si>
  <si>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</si>
  <si>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</si>
  <si>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</si>
  <si>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</si>
  <si>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</si>
  <si>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</si>
  <si>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</si>
  <si>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</si>
  <si>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</si>
  <si>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</si>
  <si>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</si>
  <si>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</si>
  <si>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</si>
  <si>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</si>
  <si>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</si>
  <si>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</si>
  <si>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</si>
  <si>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</si>
  <si>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</si>
  <si>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</si>
  <si>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</si>
  <si>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</si>
  <si>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</si>
  <si>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</si>
  <si>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</si>
  <si>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</si>
  <si>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</si>
  <si>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</si>
  <si>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</si>
  <si>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</si>
  <si>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</si>
  <si>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</si>
  <si>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</si>
  <si>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</si>
  <si>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</si>
  <si>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</si>
  <si>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</si>
  <si>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</si>
  <si>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</si>
  <si>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</si>
  <si>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</si>
  <si>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</si>
  <si>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</si>
  <si>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</si>
  <si>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</si>
  <si>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</si>
  <si>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</si>
  <si>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</si>
  <si>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</si>
  <si>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</si>
  <si>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</si>
  <si>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</si>
  <si>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</si>
  <si>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</si>
  <si>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</si>
  <si>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</si>
  <si>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</si>
  <si>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</si>
  <si>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</si>
  <si>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</si>
  <si>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</si>
  <si>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</si>
  <si>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</si>
  <si>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</si>
  <si>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</si>
  <si>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</si>
  <si>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</si>
  <si>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</si>
  <si>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</si>
  <si>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</si>
  <si>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</si>
  <si>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</si>
  <si>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</si>
  <si>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</si>
  <si>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</si>
  <si>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</si>
  <si>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</si>
  <si>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</si>
  <si>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</si>
  <si>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</si>
  <si>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</si>
  <si>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</si>
  <si>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</si>
  <si>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</si>
  <si>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</si>
  <si>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</si>
  <si>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</si>
  <si>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</si>
  <si>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</si>
  <si>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</si>
  <si>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</si>
  <si>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</si>
  <si>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</si>
  <si>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</si>
  <si>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</si>
  <si>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</si>
  <si>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</si>
  <si>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</si>
  <si>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</si>
  <si>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</si>
  <si>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</si>
  <si>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</si>
  <si>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</si>
  <si>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</si>
  <si>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</si>
  <si>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</si>
  <si>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</si>
  <si>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</si>
  <si>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</si>
  <si>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</si>
  <si>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</si>
  <si>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</si>
  <si>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</si>
  <si>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</si>
  <si>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</si>
  <si>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</si>
  <si>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</si>
  <si>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</si>
  <si>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</si>
  <si>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</si>
  <si>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</si>
  <si>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</si>
  <si>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</si>
  <si>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</si>
  <si>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</si>
  <si>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</si>
  <si>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</si>
  <si>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</si>
  <si>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</si>
  <si>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</si>
  <si>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</si>
  <si>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</si>
  <si>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</si>
  <si>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</si>
  <si>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</si>
  <si>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</si>
  <si>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</si>
  <si>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</si>
  <si>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</si>
  <si>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</si>
  <si>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</si>
  <si>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</si>
  <si>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</si>
  <si>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</si>
  <si>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</si>
  <si>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</si>
  <si>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</si>
  <si>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</si>
  <si>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</si>
  <si>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</si>
  <si>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</si>
  <si>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</si>
  <si>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</si>
  <si>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</si>
  <si>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</si>
  <si>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</si>
  <si>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</si>
  <si>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</si>
  <si>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</si>
  <si>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</si>
  <si>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</si>
  <si>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</si>
  <si>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</si>
  <si>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</si>
  <si>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</si>
  <si>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</si>
  <si>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</si>
  <si>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</si>
  <si>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</si>
  <si>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</si>
  <si>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</si>
  <si>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</si>
  <si>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</si>
  <si>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</si>
  <si>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</si>
  <si>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</si>
  <si>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</si>
  <si>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</si>
  <si>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</si>
  <si>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</si>
  <si>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</si>
  <si>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</si>
  <si>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</si>
  <si>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</si>
  <si>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</si>
  <si>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</si>
  <si>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</si>
  <si>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</si>
  <si>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</si>
  <si>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</si>
  <si>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</si>
  <si>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</si>
  <si>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</si>
  <si>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</si>
  <si>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</si>
  <si>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</si>
  <si>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</si>
  <si>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</si>
  <si>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</si>
  <si>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</si>
  <si>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</si>
  <si>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</si>
  <si>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</si>
  <si>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</si>
  <si>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</si>
  <si>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</si>
  <si>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</si>
  <si>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</si>
  <si>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</si>
  <si>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</si>
  <si>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</si>
  <si>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</si>
  <si>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</si>
  <si>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</si>
  <si>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</si>
  <si>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</si>
  <si>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</si>
  <si>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</si>
  <si>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</si>
  <si>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</si>
  <si>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</si>
  <si>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</si>
  <si>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</si>
  <si>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</si>
  <si>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</si>
  <si>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</si>
  <si>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</si>
  <si>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</si>
  <si>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</si>
  <si>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</si>
  <si>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</si>
  <si>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</si>
  <si>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</si>
  <si>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</si>
  <si>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</si>
  <si>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</si>
  <si>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</si>
  <si>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</si>
  <si>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</si>
  <si>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</si>
  <si>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</si>
  <si>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</si>
  <si>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</si>
  <si>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</si>
  <si>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</si>
  <si>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</si>
  <si>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</si>
  <si>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</si>
  <si>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</si>
  <si>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</si>
  <si>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</si>
  <si>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</si>
  <si>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</si>
  <si>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</si>
  <si>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</si>
  <si>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</si>
  <si>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</si>
  <si>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</si>
  <si>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</si>
  <si>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</si>
  <si>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</si>
  <si>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</si>
  <si>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</si>
  <si>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</si>
  <si>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</si>
  <si>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</si>
  <si>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</si>
  <si>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</si>
  <si>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</si>
  <si>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</si>
  <si>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</si>
  <si>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</si>
  <si>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</si>
  <si>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</si>
  <si>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</si>
  <si>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</si>
  <si>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</si>
  <si>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</si>
  <si>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</si>
  <si>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</si>
  <si>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</si>
  <si>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</si>
  <si>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</si>
  <si>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</si>
  <si>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</si>
  <si>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</si>
  <si>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</si>
  <si>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</si>
  <si>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</si>
  <si>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</si>
  <si>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</si>
  <si>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</si>
  <si>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</si>
  <si>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</si>
  <si>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</si>
  <si>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</si>
  <si>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</si>
  <si>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</si>
  <si>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</si>
  <si>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</si>
  <si>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</si>
  <si>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</si>
  <si>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</si>
  <si>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</si>
  <si>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</si>
  <si>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</si>
  <si>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</si>
  <si>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</si>
  <si>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</si>
  <si>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</si>
  <si>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</si>
  <si>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</si>
  <si>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</si>
  <si>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</si>
  <si>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</si>
  <si>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</si>
  <si>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</si>
  <si>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</si>
  <si>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</si>
  <si>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</si>
  <si>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</si>
  <si>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</si>
  <si>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</si>
  <si>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</si>
  <si>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</si>
  <si>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</si>
  <si>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</si>
  <si>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</si>
  <si>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</si>
  <si>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</si>
  <si>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</si>
  <si>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</si>
  <si>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</si>
  <si>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</si>
  <si>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</si>
  <si>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</si>
  <si>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</si>
  <si>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</si>
  <si>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</si>
  <si>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</si>
  <si>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</si>
  <si>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</si>
  <si>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</si>
  <si>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</si>
  <si>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</si>
  <si>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</si>
  <si>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</si>
  <si>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</si>
  <si>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</si>
  <si>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</si>
  <si>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</si>
  <si>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</si>
  <si>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</si>
  <si>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</si>
  <si>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</si>
  <si>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</si>
  <si>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</si>
  <si>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</si>
  <si>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</si>
  <si>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</si>
  <si>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</si>
  <si>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</si>
  <si>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</si>
  <si>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</si>
  <si>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</si>
  <si>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</si>
  <si>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</si>
  <si>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</si>
  <si>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</si>
  <si>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</si>
  <si>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</si>
  <si>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</si>
  <si>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</si>
  <si>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</si>
  <si>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</si>
  <si>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</si>
  <si>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</si>
  <si>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</si>
  <si>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</si>
  <si>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</si>
  <si>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</si>
  <si>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</si>
  <si>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</si>
  <si>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</si>
  <si>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</si>
  <si>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</si>
  <si>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</si>
  <si>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</si>
  <si>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</si>
  <si>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</si>
  <si>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</si>
  <si>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</si>
  <si>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</si>
  <si>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</si>
  <si>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</si>
  <si>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</si>
  <si>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</si>
  <si>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</si>
  <si>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</si>
  <si>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</si>
  <si>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</si>
  <si>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</si>
  <si>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</si>
  <si>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</si>
  <si>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</si>
  <si>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</si>
  <si>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</si>
  <si>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</si>
  <si>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</si>
  <si>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</si>
  <si>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</si>
  <si>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</si>
  <si>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</si>
  <si>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</si>
  <si>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</si>
  <si>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</si>
  <si>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</si>
  <si>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</si>
  <si>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</si>
  <si>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</si>
  <si>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</si>
  <si>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</si>
  <si>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</si>
  <si>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</si>
  <si>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</si>
  <si>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</si>
  <si>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</si>
  <si>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</si>
  <si>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</si>
  <si>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</si>
  <si>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</si>
  <si>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</si>
  <si>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</si>
  <si>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</si>
  <si>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</si>
  <si>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</si>
  <si>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</si>
  <si>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</si>
  <si>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</si>
  <si>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</si>
  <si>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</si>
  <si>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</si>
  <si>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</si>
  <si>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</si>
  <si>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</si>
  <si>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</si>
  <si>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</si>
  <si>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</si>
  <si>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</si>
  <si>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</si>
  <si>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</si>
  <si>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</si>
  <si>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</si>
  <si>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</si>
  <si>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</si>
  <si>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</si>
  <si>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</si>
  <si>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</si>
  <si>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</si>
  <si>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</si>
  <si>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</si>
  <si>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</si>
  <si>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</si>
  <si>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</si>
  <si>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</si>
  <si>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</si>
  <si>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</si>
  <si>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</si>
  <si>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</si>
  <si>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</si>
  <si>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</si>
  <si>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</si>
  <si>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</si>
  <si>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</si>
  <si>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</si>
  <si>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</si>
  <si>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</si>
  <si>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</si>
  <si>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</si>
  <si>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</si>
  <si>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</si>
  <si>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</si>
  <si>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</si>
  <si>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</si>
  <si>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</si>
  <si>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</si>
  <si>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</si>
  <si>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</si>
  <si>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</si>
  <si>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</si>
  <si>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</si>
  <si>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</si>
  <si>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</si>
  <si>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</si>
  <si>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</si>
  <si>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</si>
  <si>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</si>
  <si>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</si>
  <si>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</si>
  <si>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</si>
  <si>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</si>
  <si>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</si>
  <si>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</si>
  <si>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</si>
  <si>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</si>
  <si>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</si>
  <si>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</si>
  <si>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</si>
  <si>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</si>
  <si>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</si>
  <si>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</si>
  <si>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</si>
  <si>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</si>
  <si>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</si>
  <si>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</si>
  <si>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</si>
  <si>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</si>
  <si>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</si>
  <si>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</si>
  <si>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</si>
  <si>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</si>
  <si>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</si>
  <si>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</si>
  <si>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</si>
  <si>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</si>
  <si>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</si>
  <si>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</si>
  <si>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</si>
  <si>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</si>
  <si>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</si>
  <si>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</si>
  <si>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</si>
  <si>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</si>
  <si>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</si>
  <si>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</si>
  <si>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</si>
  <si>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</si>
  <si>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</si>
  <si>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</si>
  <si>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</si>
  <si>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</si>
  <si>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</si>
  <si>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</si>
  <si>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</si>
  <si>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</si>
  <si>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</si>
  <si>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</si>
  <si>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</si>
  <si>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</si>
  <si>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</si>
  <si>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</si>
  <si>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</si>
  <si>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</si>
  <si>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</si>
  <si>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</si>
  <si>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</si>
  <si>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</si>
  <si>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</si>
  <si>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</si>
  <si>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</si>
  <si>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</si>
  <si>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</si>
  <si>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</si>
  <si>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</si>
  <si>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</si>
  <si>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</si>
  <si>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</si>
  <si>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</si>
  <si>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</si>
  <si>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</si>
  <si>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</si>
  <si>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</si>
  <si>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</si>
  <si>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</si>
  <si>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</si>
  <si>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</si>
  <si>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</si>
  <si>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</si>
  <si>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</si>
  <si>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</si>
  <si>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</si>
  <si>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</si>
  <si>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</si>
  <si>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</si>
  <si>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</si>
  <si>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</si>
  <si>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</si>
  <si>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</si>
  <si>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</si>
  <si>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</si>
  <si>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</si>
  <si>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</si>
  <si>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</si>
  <si>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</si>
  <si>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</si>
  <si>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</si>
  <si>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</si>
  <si>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</si>
  <si>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</si>
  <si>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</si>
  <si>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</si>
  <si>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</si>
  <si>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</si>
  <si>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</si>
  <si>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</si>
  <si>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</si>
  <si>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</si>
  <si>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</si>
  <si>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</si>
  <si>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</si>
  <si>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</si>
  <si>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</si>
  <si>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</si>
  <si>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</si>
  <si>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</si>
  <si>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</si>
  <si>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</si>
  <si>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</si>
  <si>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</si>
  <si>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</si>
  <si>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</si>
  <si>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</si>
  <si>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</si>
  <si>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</si>
  <si>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</si>
  <si>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</si>
  <si>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</si>
  <si>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</si>
  <si>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</si>
  <si>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</si>
  <si>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</si>
  <si>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</si>
  <si>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</si>
  <si>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</si>
  <si>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</si>
  <si>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</si>
  <si>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</si>
  <si>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</si>
  <si>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</si>
  <si>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</si>
  <si>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</si>
  <si>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</si>
  <si>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</si>
  <si>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</si>
  <si>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</si>
  <si>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</si>
  <si>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</si>
  <si>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</si>
  <si>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</si>
  <si>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</si>
  <si>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</si>
  <si>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</si>
  <si>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</si>
  <si>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</si>
  <si>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</si>
  <si>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</si>
  <si>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</si>
  <si>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</si>
  <si>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</si>
  <si>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</si>
  <si>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</si>
  <si>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</si>
  <si>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</si>
  <si>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</si>
  <si>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</si>
  <si>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</si>
  <si>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</si>
  <si>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</si>
  <si>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</si>
  <si>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</si>
  <si>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</si>
  <si>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</si>
  <si>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</si>
  <si>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</si>
  <si>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</si>
  <si>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</si>
  <si>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</si>
  <si>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</si>
  <si>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</si>
  <si>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</si>
  <si>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</si>
  <si>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</si>
  <si>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</si>
  <si>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</si>
  <si>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</si>
  <si>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</si>
  <si>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</si>
  <si>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</si>
  <si>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</si>
  <si>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</si>
  <si>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</si>
  <si>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</si>
  <si>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</si>
  <si>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</si>
  <si>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</si>
  <si>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</si>
  <si>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</si>
  <si>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</si>
  <si>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</si>
  <si>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</si>
  <si>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</si>
  <si>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</si>
  <si>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</si>
  <si>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</si>
  <si>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</si>
  <si>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</si>
  <si>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</si>
  <si>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</si>
  <si>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</si>
  <si>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</si>
  <si>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</si>
  <si>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</si>
  <si>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</si>
  <si>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</si>
  <si>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</si>
  <si>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</si>
  <si>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</si>
  <si>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</si>
  <si>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</si>
  <si>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</si>
  <si>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</si>
  <si>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</si>
  <si>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</si>
  <si>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</si>
  <si>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</si>
  <si>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</si>
  <si>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</si>
  <si>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</si>
  <si>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</si>
  <si>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</si>
  <si>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</si>
  <si>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</si>
  <si>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</si>
  <si>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</si>
  <si>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</si>
  <si>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</si>
  <si>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</si>
  <si>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</si>
  <si>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</si>
  <si>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</si>
  <si>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</si>
  <si>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</si>
  <si>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</si>
  <si>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</si>
  <si>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</si>
  <si>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</si>
  <si>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</si>
  <si>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</si>
  <si>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</si>
  <si>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</si>
  <si>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</si>
  <si>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</si>
  <si>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</si>
  <si>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</si>
  <si>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</si>
  <si>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</si>
  <si>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</si>
  <si>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</si>
  <si>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</si>
  <si>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</si>
  <si>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</si>
  <si>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</si>
  <si>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</si>
  <si>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</si>
  <si>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</si>
  <si>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</si>
  <si>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</si>
  <si>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</si>
  <si>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</si>
  <si>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</si>
  <si>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</si>
  <si>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</si>
  <si>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</si>
  <si>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</si>
  <si>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</si>
  <si>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</si>
  <si>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</si>
  <si>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</si>
  <si>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</si>
  <si>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</si>
  <si>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</si>
  <si>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</si>
  <si>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</si>
  <si>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</si>
  <si>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</si>
  <si>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</si>
  <si>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</si>
  <si>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</si>
  <si>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</si>
  <si>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</si>
  <si>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</si>
  <si>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</si>
  <si>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</si>
  <si>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</si>
  <si>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</si>
  <si>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</si>
  <si>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</si>
  <si>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</si>
  <si>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</si>
  <si>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</si>
  <si>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</si>
  <si>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</si>
  <si>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</si>
  <si>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</si>
  <si>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</si>
  <si>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</si>
  <si>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</si>
  <si>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</si>
  <si>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</si>
  <si>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</si>
  <si>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</si>
  <si>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</si>
  <si>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</si>
  <si>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</si>
  <si>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</si>
  <si>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</si>
  <si>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</si>
  <si>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</si>
  <si>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</si>
  <si>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</si>
  <si>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</si>
  <si>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</si>
  <si>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</si>
  <si>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</si>
  <si>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</si>
  <si>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</si>
  <si>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</si>
  <si>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</si>
  <si>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</si>
  <si>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</si>
  <si>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</si>
  <si>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</si>
  <si>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</si>
  <si>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</si>
  <si>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</si>
  <si>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</si>
  <si>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</si>
  <si>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</si>
  <si>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</si>
  <si>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</si>
  <si>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</si>
  <si>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</si>
  <si>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</si>
  <si>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</si>
  <si>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</si>
  <si>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</si>
  <si>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</si>
  <si>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</si>
  <si>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</si>
  <si>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</si>
  <si>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</si>
  <si>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</si>
  <si>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</si>
  <si>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</si>
  <si>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</si>
  <si>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</si>
  <si>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</si>
  <si>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</si>
  <si>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</si>
  <si>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</si>
  <si>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</si>
  <si>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</si>
  <si>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</si>
  <si>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</si>
  <si>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</si>
  <si>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</si>
  <si>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</si>
  <si>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</si>
  <si>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</si>
  <si>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</si>
  <si>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</si>
  <si>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</si>
  <si>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</si>
  <si>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</si>
  <si>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</si>
  <si>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</si>
  <si>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</si>
  <si>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</si>
  <si>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</si>
  <si>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</si>
  <si>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</si>
  <si>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</si>
  <si>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</si>
  <si>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</si>
  <si>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</si>
  <si>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</si>
  <si>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</si>
  <si>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</si>
  <si>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</si>
  <si>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</si>
  <si>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</si>
  <si>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</si>
  <si>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</si>
  <si>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</si>
  <si>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</si>
  <si>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</si>
  <si>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</si>
  <si>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</si>
  <si>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</si>
  <si>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</si>
  <si>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</si>
  <si>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</si>
  <si>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</si>
  <si>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</si>
  <si>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</si>
  <si>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</si>
  <si>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</si>
  <si>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</si>
  <si>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</si>
  <si>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</si>
  <si>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</si>
  <si>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</si>
  <si>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</si>
  <si>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</si>
  <si>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</si>
  <si>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</si>
  <si>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</si>
  <si>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</si>
  <si>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</si>
  <si>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</si>
  <si>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</si>
  <si>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</si>
  <si>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</si>
  <si>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</si>
  <si>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</si>
  <si>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</si>
  <si>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</si>
  <si>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</si>
  <si>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</si>
  <si>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</si>
  <si>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</si>
  <si>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</si>
  <si>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</si>
  <si>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</si>
  <si>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</si>
  <si>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</si>
  <si>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</si>
  <si>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</si>
  <si>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</si>
  <si>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</si>
  <si>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</si>
  <si>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</si>
  <si>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</si>
  <si>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</si>
  <si>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</si>
  <si>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</si>
  <si>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</si>
  <si>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</si>
  <si>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</si>
  <si>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</si>
  <si>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</si>
  <si>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</si>
  <si>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</si>
  <si>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</si>
  <si>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</si>
  <si>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</si>
  <si>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</si>
  <si>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</si>
  <si>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</si>
  <si>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</si>
  <si>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</si>
  <si>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</si>
  <si>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</si>
  <si>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</si>
  <si>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</si>
  <si>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</si>
  <si>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</si>
  <si>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</si>
  <si>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</si>
  <si>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</si>
  <si>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</si>
  <si>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</si>
  <si>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</si>
  <si>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</si>
  <si>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</si>
  <si>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</si>
  <si>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</si>
  <si>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</si>
  <si>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</si>
  <si>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</si>
  <si>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</si>
  <si>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</si>
  <si>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</si>
  <si>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</si>
  <si>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</si>
  <si>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</si>
  <si>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</si>
  <si>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</si>
  <si>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</si>
  <si>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</si>
  <si>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</si>
  <si>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</si>
  <si>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</si>
  <si>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</si>
  <si>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</si>
  <si>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</si>
  <si>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</si>
  <si>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</si>
  <si>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</si>
  <si>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</si>
  <si>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</si>
  <si>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</si>
  <si>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</si>
  <si>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</si>
  <si>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</si>
  <si>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</si>
  <si>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</si>
  <si>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</si>
  <si>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</si>
  <si>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</si>
  <si>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</si>
  <si>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</si>
  <si>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</si>
  <si>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</si>
  <si>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</si>
  <si>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</si>
  <si>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</si>
  <si>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</si>
  <si>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</si>
  <si>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</si>
  <si>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</si>
  <si>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</si>
  <si>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</si>
  <si>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</si>
  <si>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</si>
  <si>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</si>
  <si>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</si>
  <si>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</si>
  <si>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</si>
  <si>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</si>
  <si>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</si>
  <si>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</si>
  <si>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</si>
  <si>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</si>
  <si>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</si>
  <si>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</si>
  <si>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</si>
  <si>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</si>
  <si>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</si>
  <si>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</si>
  <si>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</si>
  <si>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</si>
  <si>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</si>
  <si>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</si>
  <si>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</si>
  <si>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</si>
  <si>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</si>
  <si>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</si>
  <si>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</si>
  <si>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</si>
  <si>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</si>
  <si>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</si>
  <si>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</si>
  <si>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</si>
  <si>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</si>
  <si>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</si>
  <si>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</si>
  <si>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</si>
  <si>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</si>
  <si>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</si>
  <si>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</si>
  <si>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</si>
  <si>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</si>
  <si>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</si>
  <si>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</si>
  <si>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</si>
  <si>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</si>
  <si>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</si>
  <si>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</si>
  <si>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</si>
  <si>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</si>
  <si>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</si>
  <si>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</si>
  <si>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</si>
  <si>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</si>
  <si>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</si>
  <si>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</si>
  <si>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</si>
  <si>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</si>
  <si>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</si>
  <si>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</si>
  <si>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</si>
  <si>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</si>
  <si>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</si>
  <si>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</si>
  <si>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</si>
  <si>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</si>
  <si>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</si>
  <si>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</si>
  <si>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</si>
  <si>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</si>
  <si>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</si>
  <si>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</si>
  <si>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</si>
  <si>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</si>
  <si>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</si>
  <si>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</si>
  <si>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</si>
  <si>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</si>
  <si>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</si>
  <si>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</si>
  <si>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</si>
  <si>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</si>
  <si>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</si>
  <si>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</si>
  <si>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</si>
  <si>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</si>
  <si>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</si>
  <si>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</si>
  <si>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</si>
  <si>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</si>
  <si>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</si>
  <si>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</si>
  <si>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</si>
  <si>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</si>
  <si>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</si>
  <si>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</si>
  <si>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</si>
  <si>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</si>
  <si>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</si>
  <si>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</si>
  <si>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</si>
  <si>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</si>
  <si>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</si>
  <si>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</si>
  <si>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</si>
  <si>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</si>
  <si>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</si>
  <si>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</si>
  <si>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</si>
  <si>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</si>
  <si>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</si>
  <si>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</si>
  <si>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</si>
  <si>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</si>
  <si>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</si>
  <si>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</si>
  <si>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</si>
  <si>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</si>
  <si>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</si>
  <si>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</si>
  <si>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</si>
  <si>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</si>
  <si>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</si>
  <si>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</si>
  <si>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</si>
  <si>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</si>
  <si>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</si>
  <si>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</si>
  <si>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</si>
  <si>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</si>
  <si>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</si>
  <si>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</si>
  <si>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</si>
  <si>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</si>
  <si>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</si>
  <si>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</si>
  <si>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</si>
  <si>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</si>
  <si>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</si>
  <si>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</si>
  <si>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</si>
  <si>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</si>
  <si>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</si>
  <si>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</si>
  <si>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</si>
  <si>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</si>
  <si>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</si>
  <si>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</si>
  <si>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</si>
  <si>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</si>
  <si>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</si>
  <si>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</si>
  <si>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</si>
  <si>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</si>
  <si>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</si>
  <si>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</si>
  <si>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</si>
  <si>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</si>
  <si>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</si>
  <si>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</si>
  <si>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</si>
  <si>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</si>
  <si>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</si>
  <si>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</si>
  <si>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</si>
  <si>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</si>
  <si>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</si>
  <si>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</si>
  <si>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</si>
  <si>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</si>
  <si>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</si>
  <si>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</si>
  <si>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</si>
  <si>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</si>
  <si>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</si>
  <si>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</si>
  <si>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</si>
  <si>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</si>
  <si>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</si>
  <si>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</si>
  <si>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</si>
  <si>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</si>
  <si>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</si>
  <si>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</si>
  <si>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</si>
  <si>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</si>
  <si>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</si>
  <si>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</si>
  <si>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</si>
  <si>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</si>
  <si>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</si>
  <si>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</si>
  <si>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</si>
  <si>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</si>
  <si>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</si>
  <si>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</si>
  <si>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</si>
  <si>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</si>
  <si>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</si>
  <si>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</si>
  <si>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</si>
  <si>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</si>
  <si>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</si>
  <si>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</si>
  <si>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</si>
  <si>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</si>
  <si>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</si>
  <si>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</si>
  <si>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</si>
  <si>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</si>
  <si>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</si>
  <si>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</si>
  <si>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</si>
  <si>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</si>
  <si>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</si>
  <si>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</si>
  <si>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</si>
  <si>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</si>
  <si>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</si>
  <si>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</si>
  <si>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</si>
  <si>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</si>
  <si>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</si>
  <si>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</si>
  <si>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</si>
  <si>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</si>
  <si>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</si>
  <si>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</si>
  <si>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</si>
  <si>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</si>
  <si>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</si>
  <si>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</si>
  <si>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</si>
  <si>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</si>
  <si>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</si>
  <si>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</si>
  <si>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</si>
  <si>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</si>
  <si>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</si>
  <si>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</si>
  <si>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</si>
  <si>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</si>
  <si>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</si>
  <si>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</si>
  <si>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</si>
  <si>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</si>
  <si>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</si>
  <si>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</si>
  <si>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</si>
  <si>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</si>
  <si>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</si>
  <si>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</si>
  <si>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</si>
  <si>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</si>
  <si>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</si>
  <si>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</si>
  <si>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</si>
  <si>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</si>
  <si>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</si>
  <si>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</si>
  <si>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</si>
  <si>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</si>
  <si>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</si>
  <si>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</si>
  <si>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</si>
  <si>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</si>
  <si>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</si>
  <si>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</si>
  <si>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</si>
  <si>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</si>
  <si>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</si>
  <si>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</si>
  <si>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</si>
  <si>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</si>
  <si>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</si>
  <si>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</si>
  <si>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</si>
  <si>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</si>
  <si>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</si>
  <si>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</si>
  <si>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</si>
  <si>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</si>
  <si>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</si>
  <si>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</si>
  <si>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</si>
  <si>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</si>
  <si>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</si>
  <si>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</si>
  <si>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</si>
  <si>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</si>
  <si>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</si>
  <si>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</si>
  <si>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</si>
  <si>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</si>
  <si>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</si>
  <si>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</si>
  <si>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</si>
  <si>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</si>
  <si>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</si>
  <si>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</si>
  <si>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</si>
  <si>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</si>
  <si>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</si>
  <si>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</si>
  <si>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</si>
  <si>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</si>
  <si>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</si>
  <si>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</si>
  <si>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</si>
  <si>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</si>
  <si>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</si>
  <si>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</si>
  <si>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</si>
  <si>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</si>
  <si>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</si>
  <si>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</si>
  <si>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</si>
  <si>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</si>
  <si>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</si>
  <si>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</si>
  <si>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</si>
  <si>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</si>
  <si>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</si>
  <si>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</si>
  <si>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</si>
  <si>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</si>
  <si>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</si>
  <si>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</si>
  <si>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</si>
  <si>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</si>
  <si>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</si>
  <si>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</si>
  <si>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</si>
  <si>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</si>
  <si>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</si>
  <si>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</si>
  <si>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</si>
  <si>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</si>
  <si>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</si>
  <si>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</si>
  <si>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</si>
  <si>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</si>
  <si>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</si>
  <si>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</si>
  <si>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</si>
  <si>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</si>
  <si>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</si>
  <si>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</si>
  <si>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</si>
  <si>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</si>
  <si>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</si>
  <si>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</si>
  <si>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</si>
  <si>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</si>
  <si>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</si>
  <si>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</si>
  <si>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</si>
  <si>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</si>
  <si>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</si>
  <si>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</si>
  <si>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</si>
  <si>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</si>
  <si>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</si>
  <si>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</si>
  <si>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</si>
  <si>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</si>
  <si>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</si>
  <si>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</si>
  <si>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</si>
  <si>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</si>
  <si>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</si>
  <si>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</si>
  <si>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</si>
  <si>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</si>
  <si>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</si>
  <si>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</si>
  <si>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</si>
  <si>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</si>
  <si>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</si>
  <si>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</si>
  <si>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</si>
  <si>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</si>
  <si>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</si>
  <si>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</si>
  <si>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</si>
  <si>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</si>
  <si>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</si>
  <si>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</si>
  <si>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</si>
  <si>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</si>
  <si>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</si>
  <si>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</si>
  <si>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</si>
  <si>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</si>
  <si>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</si>
  <si>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</si>
  <si>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</si>
  <si>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</si>
  <si>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</si>
  <si>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</si>
  <si>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</si>
  <si>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</si>
  <si>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</si>
  <si>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</si>
  <si>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</si>
  <si>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</si>
  <si>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</si>
  <si>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</si>
  <si>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</si>
  <si>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</si>
  <si>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</si>
  <si>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</si>
  <si>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</si>
  <si>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</si>
  <si>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</si>
  <si>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</si>
  <si>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</si>
  <si>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</si>
  <si>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</si>
  <si>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</si>
  <si>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</si>
  <si>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</si>
  <si>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</si>
  <si>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</si>
  <si>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</si>
  <si>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</si>
  <si>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</si>
  <si>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</si>
  <si>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</si>
  <si>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</si>
  <si>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</si>
  <si>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</si>
  <si>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</si>
  <si>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</si>
  <si>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</si>
  <si>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</si>
  <si>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</si>
  <si>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</si>
  <si>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</si>
  <si>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</si>
  <si>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</si>
  <si>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</si>
  <si>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</si>
  <si>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</si>
  <si>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</si>
  <si>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</si>
  <si>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</si>
  <si>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</si>
  <si>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</si>
  <si>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</si>
  <si>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</si>
  <si>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</si>
  <si>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</si>
  <si>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</si>
  <si>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</si>
  <si>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</si>
  <si>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</si>
  <si>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</si>
  <si>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</si>
  <si>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</si>
  <si>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</si>
  <si>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</si>
  <si>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</si>
  <si>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</si>
  <si>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</si>
  <si>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</si>
  <si>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</si>
  <si>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</si>
  <si>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</si>
  <si>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</si>
  <si>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</si>
  <si>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</si>
  <si>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</si>
  <si>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</si>
  <si>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</si>
  <si>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</si>
  <si>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</si>
  <si>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</si>
  <si>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</si>
  <si>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</si>
  <si>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</si>
  <si>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</si>
  <si>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</si>
  <si>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</si>
  <si>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</si>
  <si>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</si>
  <si>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</si>
  <si>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</si>
  <si>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</si>
  <si>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</si>
  <si>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</si>
  <si>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</si>
  <si>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</si>
  <si>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</si>
  <si>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</si>
  <si>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</si>
  <si>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</si>
  <si>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</si>
  <si>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</si>
  <si>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</si>
  <si>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</si>
  <si>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</si>
  <si>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</si>
  <si>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</si>
  <si>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</si>
  <si>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</si>
  <si>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</si>
  <si>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</si>
  <si>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</si>
  <si>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</si>
  <si>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</si>
  <si>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</si>
  <si>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</si>
  <si>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</si>
  <si>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</si>
  <si>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</si>
  <si>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</si>
  <si>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</si>
  <si>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</si>
  <si>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</si>
  <si>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</si>
  <si>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</si>
  <si>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</si>
  <si>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</si>
  <si>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</si>
  <si>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</si>
  <si>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</si>
  <si>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</si>
  <si>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</si>
  <si>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</si>
  <si>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</si>
  <si>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</si>
  <si>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</si>
  <si>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</si>
  <si>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</si>
  <si>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</si>
  <si>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</si>
  <si>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</si>
  <si>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</si>
  <si>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</si>
  <si>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</si>
  <si>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</si>
  <si>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</si>
  <si>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</si>
  <si>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</si>
  <si>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</si>
  <si>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</si>
  <si>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</si>
  <si>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</si>
  <si>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</si>
  <si>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</si>
  <si>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</si>
  <si>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</si>
  <si>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</si>
  <si>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</si>
  <si>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</si>
  <si>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</si>
  <si>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</si>
  <si>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</si>
  <si>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</si>
  <si>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</si>
  <si>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</si>
  <si>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</si>
  <si>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</si>
  <si>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</si>
  <si>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</si>
  <si>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</si>
  <si>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</si>
  <si>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</si>
  <si>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</si>
  <si>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</si>
  <si>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</si>
  <si>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</si>
  <si>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</si>
  <si>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</si>
  <si>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</si>
  <si>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</si>
  <si>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</si>
  <si>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</si>
  <si>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</si>
  <si>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</si>
  <si>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</si>
  <si>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</si>
  <si>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</si>
  <si>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</si>
  <si>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</si>
  <si>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</si>
  <si>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</si>
  <si>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</si>
  <si>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</si>
  <si>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</si>
  <si>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</si>
  <si>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</si>
  <si>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</si>
  <si>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</si>
  <si>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</si>
  <si>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</si>
  <si>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</si>
  <si>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</si>
  <si>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</si>
  <si>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</si>
  <si>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</si>
  <si>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</si>
  <si>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</si>
  <si>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</si>
  <si>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</si>
  <si>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</si>
  <si>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</si>
  <si>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</si>
  <si>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</si>
  <si>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</si>
  <si>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</si>
  <si>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</si>
  <si>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</si>
  <si>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</si>
  <si>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</si>
  <si>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</si>
  <si>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</si>
  <si>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</si>
  <si>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</si>
  <si>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</si>
  <si>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</si>
  <si>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</si>
  <si>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</si>
  <si>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</si>
  <si>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</si>
  <si>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</si>
  <si>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</si>
  <si>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</si>
  <si>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</si>
  <si>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</si>
  <si>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</si>
  <si>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</si>
  <si>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</si>
  <si>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</si>
  <si>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</si>
  <si>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</si>
  <si>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</si>
  <si>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</si>
  <si>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</si>
  <si>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</si>
  <si>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</si>
  <si>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</si>
  <si>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</si>
  <si>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</si>
  <si>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</si>
  <si>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</si>
  <si>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</si>
  <si>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</si>
  <si>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</si>
  <si>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</si>
  <si>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</si>
  <si>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</si>
  <si>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</si>
  <si>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</si>
  <si>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</si>
  <si>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</si>
  <si>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</si>
  <si>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</si>
  <si>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</si>
  <si>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</si>
  <si>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</si>
  <si>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</si>
  <si>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</si>
  <si>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</si>
  <si>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</si>
  <si>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</si>
  <si>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</si>
  <si>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</si>
  <si>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</si>
  <si>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</si>
  <si>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</si>
  <si>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</si>
  <si>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</si>
  <si>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</si>
  <si>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</si>
  <si>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</si>
  <si>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</si>
  <si>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</si>
  <si>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</si>
  <si>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</si>
  <si>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</si>
  <si>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</si>
  <si>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</si>
  <si>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</si>
  <si>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</si>
  <si>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</si>
  <si>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</si>
  <si>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</si>
  <si>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</si>
  <si>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</si>
  <si>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</si>
  <si>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</si>
  <si>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</si>
  <si>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</si>
  <si>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</si>
  <si>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</si>
  <si>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</si>
  <si>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</si>
  <si>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</si>
  <si>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</si>
  <si>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</si>
  <si>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</si>
  <si>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</si>
  <si>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</si>
  <si>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</si>
  <si>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</si>
  <si>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</si>
  <si>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</si>
  <si>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</si>
  <si>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</si>
  <si>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</si>
  <si>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</si>
  <si>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</si>
  <si>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</si>
  <si>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</si>
  <si>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</si>
  <si>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</si>
  <si>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</si>
  <si>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</si>
  <si>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</si>
  <si>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</si>
  <si>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</si>
  <si>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</si>
  <si>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</si>
  <si>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</si>
  <si>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</si>
  <si>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</si>
  <si>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</si>
  <si>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</si>
  <si>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</si>
  <si>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</si>
  <si>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</si>
  <si>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</si>
  <si>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</si>
  <si>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</si>
  <si>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</si>
  <si>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</si>
  <si>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</si>
  <si>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</si>
  <si>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</si>
  <si>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</si>
  <si>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</si>
  <si>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</si>
  <si>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</si>
  <si>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</si>
  <si>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</si>
  <si>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</si>
  <si>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</si>
  <si>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</si>
  <si>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</si>
  <si>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</si>
  <si>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</si>
  <si>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</si>
  <si>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</si>
  <si>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</si>
  <si>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</si>
  <si>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</si>
  <si>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</si>
  <si>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</si>
  <si>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</si>
  <si>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</si>
  <si>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</si>
  <si>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</si>
  <si>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</si>
  <si>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</si>
  <si>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</si>
  <si>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</si>
  <si>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</si>
  <si>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</si>
  <si>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</si>
  <si>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</si>
  <si>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</si>
  <si>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</si>
  <si>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</si>
  <si>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</si>
  <si>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</si>
  <si>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</si>
  <si>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</si>
  <si>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</si>
  <si>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</si>
  <si>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</si>
  <si>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</si>
  <si>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</si>
  <si>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</si>
  <si>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</si>
  <si>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</si>
  <si>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</si>
  <si>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</si>
  <si>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</si>
  <si>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</si>
  <si>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</si>
  <si>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</si>
  <si>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</si>
  <si>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</si>
  <si>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</si>
  <si>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</si>
  <si>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</si>
  <si>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</si>
  <si>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</si>
  <si>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</si>
  <si>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</si>
  <si>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</si>
  <si>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</si>
  <si>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</si>
  <si>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</si>
  <si>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</si>
  <si>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</si>
  <si>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</si>
  <si>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</si>
  <si>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</si>
  <si>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</si>
  <si>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</si>
  <si>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</si>
  <si>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</si>
  <si>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</si>
  <si>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</si>
  <si>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</si>
  <si>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</si>
  <si>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</si>
  <si>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</si>
  <si>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</si>
  <si>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</si>
  <si>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</si>
  <si>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</si>
  <si>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</si>
  <si>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</si>
  <si>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</si>
  <si>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</si>
  <si>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</si>
  <si>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</si>
  <si>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</si>
  <si>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</si>
  <si>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</si>
  <si>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</si>
  <si>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</si>
  <si>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</si>
  <si>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</si>
  <si>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</si>
  <si>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</si>
  <si>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</si>
  <si>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</si>
  <si>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</si>
  <si>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</si>
  <si>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</si>
  <si>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</si>
  <si>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</si>
  <si>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</si>
  <si>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</si>
  <si>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</si>
  <si>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</si>
  <si>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</si>
  <si>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</si>
  <si>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</si>
  <si>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</si>
  <si>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</si>
  <si>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</si>
  <si>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</si>
  <si>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</si>
  <si>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</si>
  <si>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</si>
  <si>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</si>
  <si>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</si>
  <si>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</si>
  <si>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</si>
  <si>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</si>
  <si>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</si>
  <si>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</si>
  <si>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</si>
  <si>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</si>
  <si>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</si>
  <si>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</si>
  <si>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</si>
  <si>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</si>
  <si>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</si>
  <si>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</si>
  <si>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</si>
  <si>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</si>
  <si>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</si>
  <si>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</si>
  <si>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</si>
  <si>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</si>
  <si>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</si>
  <si>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</si>
  <si>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</si>
  <si>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</si>
  <si>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</si>
  <si>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</si>
  <si>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</si>
  <si>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</si>
  <si>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</si>
  <si>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</si>
  <si>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</si>
  <si>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</si>
  <si>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</si>
  <si>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</si>
  <si>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</si>
  <si>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</si>
  <si>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</si>
  <si>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</si>
  <si>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</si>
  <si>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</si>
  <si>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</si>
  <si>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</si>
  <si>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</si>
  <si>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</si>
  <si>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</si>
  <si>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</si>
  <si>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</si>
  <si>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</si>
  <si>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</si>
  <si>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</si>
  <si>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</si>
  <si>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</si>
  <si>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</si>
  <si>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</si>
  <si>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</si>
  <si>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</si>
  <si>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</si>
  <si>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</si>
  <si>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</si>
  <si>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</si>
  <si>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</si>
  <si>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</si>
  <si>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</si>
  <si>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</si>
  <si>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</si>
  <si>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</si>
  <si>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</si>
  <si>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</si>
  <si>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</si>
  <si>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</si>
  <si>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</si>
  <si>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</si>
  <si>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</si>
  <si>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</si>
  <si>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</si>
  <si>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</si>
  <si>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</si>
  <si>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</si>
  <si>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</si>
  <si>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</si>
  <si>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</si>
  <si>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</si>
  <si>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</si>
  <si>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</si>
  <si>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</si>
  <si>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</si>
  <si>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</si>
  <si>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</si>
  <si>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</si>
  <si>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</si>
  <si>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</si>
  <si>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</si>
  <si>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</si>
  <si>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</si>
  <si>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</si>
  <si>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</si>
  <si>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</si>
  <si>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</si>
  <si>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</si>
  <si>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</si>
  <si>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</si>
  <si>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</si>
  <si>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</si>
  <si>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</si>
  <si>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</si>
  <si>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</si>
  <si>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</si>
  <si>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</si>
  <si>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</si>
  <si>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</si>
  <si>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</si>
  <si>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</si>
  <si>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</si>
  <si>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</si>
  <si>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</si>
  <si>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</si>
  <si>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</si>
  <si>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</si>
  <si>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</si>
  <si>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</si>
  <si>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</si>
  <si>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</si>
  <si>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</si>
  <si>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</si>
  <si>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</si>
  <si>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</si>
  <si>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</si>
  <si>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</si>
  <si>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</si>
  <si>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</si>
  <si>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</si>
  <si>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</si>
  <si>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</si>
  <si>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</si>
  <si>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</si>
  <si>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</si>
  <si>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</si>
  <si>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</si>
  <si>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</si>
  <si>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</si>
  <si>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</si>
  <si>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</si>
  <si>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</si>
  <si>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</si>
  <si>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</si>
  <si>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</si>
  <si>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</si>
  <si>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</si>
  <si>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</si>
  <si>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</si>
  <si>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</si>
  <si>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</si>
  <si>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</si>
  <si>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</si>
  <si>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</si>
  <si>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</si>
  <si>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</si>
  <si>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</si>
  <si>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</si>
  <si>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</si>
  <si>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</si>
  <si>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</si>
  <si>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</si>
  <si>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</si>
  <si>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</si>
  <si>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</si>
  <si>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</si>
  <si>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</si>
  <si>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</si>
  <si>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</si>
  <si>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</si>
  <si>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</si>
  <si>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</si>
  <si>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</si>
  <si>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</si>
  <si>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</si>
  <si>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</si>
  <si>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</si>
  <si>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</si>
  <si>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</si>
  <si>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</si>
  <si>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</si>
  <si>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</si>
  <si>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</si>
  <si>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</si>
  <si>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</si>
  <si>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</si>
  <si>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</si>
  <si>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</si>
  <si>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</si>
  <si>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</si>
  <si>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</si>
  <si>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</si>
  <si>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</si>
  <si>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</si>
  <si>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</si>
  <si>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</si>
  <si>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</si>
  <si>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</si>
  <si>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</si>
  <si>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</si>
  <si>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</si>
  <si>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</si>
  <si>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</si>
  <si>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</si>
  <si>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</si>
  <si>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</si>
  <si>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</si>
  <si>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</si>
  <si>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</si>
  <si>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</si>
  <si>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</si>
  <si>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</si>
  <si>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</si>
  <si>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</si>
  <si>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</si>
  <si>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</si>
  <si>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</si>
  <si>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</si>
  <si>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</si>
  <si>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</si>
  <si>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</si>
  <si>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</si>
  <si>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</si>
  <si>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</si>
  <si>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</si>
  <si>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</si>
  <si>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</si>
  <si>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</si>
  <si>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</si>
  <si>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</si>
  <si>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</si>
  <si>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</si>
  <si>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</si>
  <si>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</si>
  <si>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</si>
  <si>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</si>
  <si>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</si>
  <si>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</si>
  <si>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</si>
  <si>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</si>
  <si>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</si>
  <si>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</si>
  <si>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</si>
  <si>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</si>
  <si>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</si>
  <si>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</si>
  <si>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</si>
  <si>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</si>
  <si>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</si>
  <si>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</si>
  <si>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</si>
  <si>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</si>
  <si>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</si>
  <si>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</si>
  <si>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</si>
  <si>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</si>
  <si>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</si>
  <si>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</si>
  <si>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</si>
  <si>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</si>
  <si>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</si>
  <si>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</si>
  <si>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</si>
  <si>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</si>
  <si>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</si>
  <si>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</si>
  <si>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</si>
  <si>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</si>
  <si>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</si>
  <si>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</si>
  <si>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</si>
  <si>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</si>
  <si>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</si>
  <si>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</si>
  <si>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</si>
  <si>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</si>
  <si>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</si>
  <si>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</si>
  <si>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</si>
  <si>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</si>
  <si>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</si>
  <si>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</si>
  <si>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</si>
  <si>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</si>
  <si>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</si>
  <si>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</si>
  <si>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</si>
  <si>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</si>
  <si>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</si>
  <si>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</si>
  <si>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</si>
  <si>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</si>
  <si>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</si>
  <si>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</si>
  <si>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</si>
  <si>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</si>
  <si>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</si>
  <si>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</si>
  <si>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</si>
  <si>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</si>
  <si>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</si>
  <si>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</si>
  <si>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</si>
  <si>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</si>
  <si>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</si>
  <si>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</si>
  <si>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</si>
  <si>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</si>
  <si>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</si>
  <si>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</si>
  <si>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</si>
  <si>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</si>
  <si>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</si>
  <si>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</si>
  <si>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</si>
  <si>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</si>
  <si>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</si>
  <si>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</si>
  <si>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</si>
  <si>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</si>
  <si>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</si>
  <si>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</si>
  <si>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</si>
  <si>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</si>
  <si>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</si>
  <si>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</si>
  <si>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</si>
  <si>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</si>
  <si>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</si>
  <si>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</si>
  <si>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</si>
  <si>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</si>
  <si>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</si>
  <si>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</si>
  <si>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</si>
  <si>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</si>
  <si>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</si>
  <si>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</si>
  <si>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</si>
  <si>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</si>
  <si>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</si>
  <si>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</si>
  <si>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</si>
  <si>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</si>
  <si>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</si>
  <si>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</si>
  <si>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</si>
  <si>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</si>
  <si>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</si>
  <si>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</si>
  <si>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</si>
  <si>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</si>
  <si>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</si>
  <si>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</si>
  <si>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</si>
  <si>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</si>
  <si>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</si>
  <si>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</si>
  <si>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</si>
  <si>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</si>
  <si>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</si>
  <si>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</si>
  <si>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</si>
  <si>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</si>
  <si>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</si>
  <si>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</si>
  <si>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</si>
  <si>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</si>
  <si>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</si>
  <si>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</si>
  <si>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</si>
  <si>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</si>
  <si>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</si>
  <si>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</si>
  <si>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</si>
  <si>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</si>
  <si>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</si>
  <si>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</si>
  <si>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</si>
  <si>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</si>
  <si>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</si>
  <si>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</si>
  <si>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</si>
  <si>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</si>
  <si>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</si>
  <si>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</si>
  <si>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</si>
  <si>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</si>
  <si>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</si>
  <si>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</si>
  <si>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</si>
  <si>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</si>
  <si>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</si>
  <si>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</si>
  <si>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</si>
  <si>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</si>
  <si>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</si>
  <si>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</si>
  <si>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</si>
  <si>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</si>
  <si>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</si>
  <si>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</si>
  <si>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</si>
  <si>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</si>
  <si>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</si>
  <si>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</si>
  <si>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</si>
  <si>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</si>
  <si>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</si>
  <si>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</si>
  <si>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</si>
  <si>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</si>
  <si>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</si>
  <si>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</si>
  <si>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</si>
  <si>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</si>
  <si>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</si>
  <si>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</si>
  <si>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</si>
  <si>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</si>
  <si>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</si>
  <si>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</si>
  <si>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</si>
  <si>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</si>
  <si>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</si>
  <si>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</si>
  <si>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</si>
  <si>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</si>
  <si>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</si>
  <si>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</si>
  <si>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</si>
  <si>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</si>
  <si>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</si>
  <si>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</si>
  <si>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</si>
  <si>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</si>
  <si>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</si>
  <si>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</si>
  <si>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</si>
  <si>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</si>
  <si>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</si>
  <si>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</si>
  <si>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</si>
  <si>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</si>
  <si>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</si>
  <si>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</si>
  <si>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</si>
  <si>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</si>
  <si>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</si>
  <si>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</si>
  <si>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</si>
  <si>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</si>
  <si>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</si>
  <si>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</si>
  <si>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</si>
  <si>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</si>
  <si>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</si>
  <si>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</si>
  <si>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</si>
  <si>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</si>
  <si>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</si>
  <si>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</si>
  <si>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</si>
  <si>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</si>
  <si>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</si>
  <si>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</si>
  <si>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</si>
  <si>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</si>
  <si>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</si>
  <si>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</si>
  <si>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</si>
  <si>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</si>
  <si>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</si>
  <si>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</si>
  <si>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</si>
  <si>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</si>
  <si>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</si>
  <si>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</si>
  <si>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</si>
  <si>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</si>
  <si>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</si>
  <si>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</si>
  <si>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</si>
  <si>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</si>
  <si>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</si>
  <si>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</si>
  <si>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</si>
  <si>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</si>
  <si>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</si>
  <si>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</si>
  <si>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</si>
  <si>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</si>
  <si>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</si>
  <si>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</si>
  <si>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</si>
  <si>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</si>
  <si>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</si>
  <si>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</si>
  <si>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</si>
  <si>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</si>
  <si>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</si>
  <si>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</si>
  <si>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</si>
  <si>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</si>
  <si>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</si>
  <si>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</si>
  <si>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</si>
  <si>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</si>
  <si>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</si>
  <si>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</si>
  <si>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</si>
  <si>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</si>
  <si>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</si>
  <si>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</si>
  <si>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</si>
  <si>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</si>
  <si>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</si>
  <si>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</si>
  <si>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</si>
  <si>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</si>
  <si>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</si>
  <si>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</si>
  <si>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</si>
  <si>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</si>
  <si>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</si>
  <si>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</si>
  <si>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</si>
  <si>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</si>
  <si>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</si>
  <si>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</si>
  <si>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</si>
  <si>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</si>
  <si>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</si>
  <si>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</si>
  <si>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</si>
  <si>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</si>
  <si>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</si>
  <si>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</si>
  <si>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</si>
  <si>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</si>
  <si>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</si>
  <si>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</si>
  <si>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</si>
  <si>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</si>
  <si>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</si>
  <si>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</si>
  <si>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</si>
  <si>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</si>
  <si>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</si>
  <si>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</si>
  <si>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</si>
  <si>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</si>
  <si>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</si>
  <si>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</si>
  <si>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</si>
  <si>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</si>
  <si>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</si>
  <si>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</si>
  <si>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</si>
  <si>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</si>
  <si>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</si>
  <si>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</si>
  <si>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</si>
  <si>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</si>
  <si>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</si>
  <si>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</si>
  <si>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</si>
  <si>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</si>
  <si>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</si>
  <si>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</si>
  <si>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</si>
  <si>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</si>
  <si>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</si>
  <si>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</si>
  <si>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</si>
  <si>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</si>
  <si>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</si>
  <si>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</si>
  <si>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</si>
  <si>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</si>
  <si>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</si>
  <si>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</si>
  <si>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</si>
  <si>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</si>
  <si>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</si>
  <si>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</si>
  <si>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</si>
  <si>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</si>
  <si>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</si>
  <si>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</si>
  <si>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</si>
  <si>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</si>
  <si>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</si>
  <si>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</si>
  <si>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</si>
  <si>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</si>
  <si>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</si>
  <si>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</si>
  <si>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</si>
  <si>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</si>
  <si>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</si>
  <si>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</si>
  <si>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</si>
  <si>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</si>
  <si>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</si>
  <si>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</si>
  <si>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</si>
  <si>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</si>
  <si>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</si>
  <si>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</si>
  <si>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</si>
  <si>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</si>
  <si>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</si>
  <si>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</si>
  <si>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</si>
  <si>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</si>
  <si>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</si>
  <si>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</si>
  <si>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</si>
  <si>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</si>
  <si>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</si>
  <si>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</si>
  <si>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</si>
  <si>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</si>
  <si>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</si>
  <si>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</si>
  <si>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</si>
  <si>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</si>
  <si>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</si>
  <si>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</si>
  <si>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</si>
  <si>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</si>
  <si>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</si>
  <si>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</si>
  <si>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</si>
  <si>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</si>
  <si>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</si>
  <si>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</si>
  <si>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</si>
  <si>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</si>
  <si>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</si>
  <si>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</si>
  <si>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</si>
  <si>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</si>
  <si>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</si>
  <si>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</si>
  <si>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</si>
  <si>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</si>
  <si>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</si>
  <si>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</si>
  <si>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</si>
  <si>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</si>
  <si>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</si>
  <si>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</si>
  <si>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</si>
  <si>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</si>
  <si>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</si>
  <si>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</si>
  <si>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</si>
  <si>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</si>
  <si>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</si>
  <si>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</si>
  <si>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</si>
  <si>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</si>
  <si>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</si>
  <si>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</si>
  <si>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</si>
  <si>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</si>
  <si>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</si>
  <si>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</si>
  <si>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</si>
  <si>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</si>
  <si>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</si>
  <si>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</si>
  <si>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</si>
  <si>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</si>
  <si>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</si>
  <si>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</si>
  <si>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</si>
  <si>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</si>
  <si>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</si>
  <si>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</si>
  <si>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</si>
  <si>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</si>
  <si>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</si>
  <si>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</si>
  <si>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</si>
  <si>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</si>
  <si>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</si>
  <si>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</si>
  <si>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</si>
  <si>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</si>
  <si>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</si>
  <si>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</si>
  <si>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</si>
  <si>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</si>
  <si>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</si>
  <si>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</si>
  <si>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</si>
  <si>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</si>
  <si>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</si>
  <si>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</si>
  <si>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</si>
  <si>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</si>
  <si>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</si>
  <si>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</si>
  <si>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</si>
  <si>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</si>
  <si>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</si>
  <si>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</si>
  <si>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</si>
  <si>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</si>
  <si>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</si>
  <si>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</si>
  <si>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</si>
  <si>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</si>
  <si>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</si>
  <si>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</si>
  <si>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</si>
  <si>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</si>
  <si>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</si>
  <si>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</si>
  <si>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</si>
  <si>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</si>
  <si>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</si>
  <si>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</si>
  <si>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</si>
  <si>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</si>
  <si>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</si>
  <si>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</si>
  <si>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</si>
  <si>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</si>
  <si>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</si>
  <si>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</si>
  <si>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</si>
  <si>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</si>
  <si>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</si>
  <si>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</si>
  <si>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</si>
  <si>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</si>
  <si>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</si>
  <si>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</si>
  <si>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</si>
  <si>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</si>
  <si>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</si>
  <si>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</si>
  <si>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</si>
  <si>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</si>
  <si>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</si>
  <si>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</si>
  <si>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</si>
  <si>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</si>
  <si>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</si>
  <si>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</si>
  <si>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</si>
  <si>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</si>
  <si>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</si>
  <si>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</si>
  <si>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</si>
  <si>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</si>
  <si>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</si>
  <si>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</si>
  <si>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</si>
  <si>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</si>
  <si>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</si>
  <si>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</si>
  <si>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</si>
  <si>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</si>
  <si>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</si>
  <si>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</si>
  <si>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</si>
  <si>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</si>
  <si>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</si>
  <si>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</si>
  <si>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</si>
  <si>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</si>
  <si>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</si>
  <si>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</si>
  <si>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</si>
  <si>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</si>
  <si>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</si>
  <si>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</si>
  <si>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</si>
  <si>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</si>
  <si>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</si>
  <si>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</si>
  <si>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</si>
  <si>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</si>
  <si>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</si>
  <si>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</si>
  <si>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</si>
  <si>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</si>
  <si>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</si>
  <si>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</si>
  <si>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</si>
  <si>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</si>
  <si>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</si>
  <si>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</si>
  <si>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</si>
  <si>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</si>
  <si>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</si>
  <si>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</si>
  <si>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</si>
  <si>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</si>
  <si>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</si>
  <si>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</si>
  <si>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</si>
  <si>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</si>
  <si>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</si>
  <si>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</si>
  <si>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</si>
  <si>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</si>
  <si>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</si>
  <si>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</si>
  <si>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</si>
  <si>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</si>
  <si>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</si>
  <si>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</si>
  <si>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</si>
  <si>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</si>
  <si>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</si>
  <si>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</si>
  <si>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</si>
  <si>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</si>
  <si>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</si>
  <si>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</si>
  <si>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</si>
  <si>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</si>
  <si>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</si>
  <si>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</si>
  <si>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</si>
  <si>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</si>
  <si>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</si>
  <si>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</si>
  <si>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</si>
  <si>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</si>
  <si>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</si>
  <si>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</si>
  <si>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</si>
  <si>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</si>
  <si>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</si>
  <si>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</si>
  <si>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</si>
  <si>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</si>
  <si>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</si>
  <si>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</si>
  <si>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</si>
  <si>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</si>
  <si>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</si>
  <si>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</si>
  <si>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</si>
  <si>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</si>
  <si>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</si>
  <si>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</si>
  <si>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</si>
  <si>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</si>
  <si>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</si>
  <si>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</si>
  <si>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</si>
  <si>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</si>
  <si>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</si>
  <si>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</si>
  <si>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</si>
  <si>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</si>
  <si>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</si>
  <si>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</si>
  <si>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</si>
  <si>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</si>
  <si>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</si>
  <si>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</si>
  <si>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</si>
  <si>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</si>
  <si>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</si>
  <si>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</si>
  <si>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</si>
  <si>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</si>
  <si>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</si>
  <si>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</si>
  <si>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</si>
  <si>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</si>
  <si>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</si>
  <si>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</si>
  <si>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</si>
  <si>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</si>
  <si>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</si>
  <si>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</si>
  <si>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</si>
  <si>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</si>
  <si>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</si>
  <si>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</si>
  <si>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</si>
  <si>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</si>
  <si>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</si>
  <si>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</si>
  <si>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</si>
  <si>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</si>
  <si>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</si>
  <si>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</si>
  <si>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</si>
  <si>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</si>
  <si>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</si>
  <si>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</si>
  <si>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</si>
  <si>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</si>
  <si>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</si>
  <si>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</si>
  <si>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</si>
  <si>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</si>
  <si>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</si>
  <si>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</si>
  <si>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</si>
  <si>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</si>
  <si>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</si>
  <si>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</si>
  <si>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</si>
  <si>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</si>
  <si>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</si>
  <si>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</si>
  <si>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</si>
  <si>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</si>
  <si>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</si>
  <si>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</si>
  <si>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</si>
  <si>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</si>
  <si>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</si>
  <si>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</si>
  <si>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</si>
  <si>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</si>
  <si>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</si>
  <si>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</si>
  <si>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</si>
  <si>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</si>
  <si>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</si>
  <si>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</si>
  <si>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</si>
  <si>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</si>
  <si>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</si>
  <si>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</si>
  <si>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</si>
  <si>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</si>
  <si>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</si>
  <si>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</si>
  <si>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</si>
  <si>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</si>
  <si>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</si>
  <si>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</si>
  <si>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</si>
  <si>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</si>
  <si>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</si>
  <si>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</si>
  <si>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</si>
  <si>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</si>
  <si>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</si>
  <si>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</si>
  <si>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</si>
  <si>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</si>
  <si>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</si>
  <si>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</si>
  <si>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</si>
  <si>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</si>
  <si>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</si>
  <si>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</si>
  <si>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</si>
  <si>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</si>
  <si>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</si>
  <si>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</si>
  <si>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</si>
  <si>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</si>
  <si>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</si>
  <si>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</si>
  <si>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</si>
  <si>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</si>
  <si>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</si>
  <si>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</si>
  <si>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</si>
  <si>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</si>
  <si>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</si>
  <si>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</si>
  <si>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</si>
  <si>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</si>
  <si>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</si>
  <si>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</si>
  <si>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</si>
  <si>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</si>
  <si>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</si>
  <si>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</si>
  <si>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</si>
  <si>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</si>
  <si>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</si>
  <si>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</si>
  <si>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</si>
  <si>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</si>
  <si>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</si>
  <si>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</si>
  <si>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</si>
  <si>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</si>
  <si>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</si>
  <si>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</si>
  <si>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</si>
  <si>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</si>
  <si>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</si>
  <si>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</si>
  <si>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</si>
  <si>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</si>
  <si>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</si>
  <si>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</si>
  <si>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</si>
  <si>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</si>
  <si>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</si>
  <si>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</si>
  <si>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</si>
  <si>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</si>
  <si>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</si>
  <si>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</si>
  <si>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</si>
  <si>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</si>
  <si>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</si>
  <si>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</si>
  <si>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</si>
  <si>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</si>
  <si>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</si>
  <si>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</si>
  <si>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</si>
  <si>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</si>
  <si>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</si>
  <si>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</si>
  <si>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</si>
  <si>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</si>
  <si>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</si>
  <si>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</si>
  <si>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</si>
  <si>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</si>
  <si>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</si>
  <si>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</si>
  <si>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</si>
  <si>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</si>
  <si>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</si>
  <si>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</si>
  <si>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</si>
  <si>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</si>
  <si>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</si>
  <si>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</si>
  <si>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</si>
  <si>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</si>
  <si>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</si>
  <si>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</si>
  <si>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</si>
  <si>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</si>
  <si>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</si>
  <si>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</si>
  <si>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</si>
  <si>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</si>
  <si>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</si>
  <si>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</si>
  <si>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</si>
  <si>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</si>
  <si>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</si>
  <si>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</si>
  <si>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</si>
  <si>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</si>
  <si>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</si>
  <si>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</si>
  <si>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</si>
  <si>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</si>
  <si>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</si>
  <si>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</si>
  <si>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</si>
  <si>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</si>
  <si>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</si>
  <si>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</si>
  <si>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</si>
  <si>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</si>
  <si>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</si>
  <si>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</si>
  <si>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</si>
  <si>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</si>
  <si>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</si>
  <si>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</si>
  <si>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</si>
  <si>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</si>
  <si>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</si>
  <si>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</si>
  <si>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</si>
  <si>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</si>
  <si>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</si>
  <si>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</si>
  <si>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</si>
  <si>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</si>
  <si>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</si>
  <si>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</si>
  <si>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</si>
  <si>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</si>
  <si>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</si>
  <si>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</si>
  <si>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</si>
  <si>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</si>
  <si>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</si>
  <si>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</si>
  <si>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</si>
  <si>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</si>
  <si>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</si>
  <si>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</si>
  <si>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</si>
  <si>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</si>
  <si>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</si>
  <si>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</si>
  <si>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</si>
  <si>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</si>
  <si>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</si>
  <si>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</si>
  <si>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</si>
  <si>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</si>
  <si>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</si>
  <si>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</si>
  <si>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</si>
  <si>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</si>
  <si>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</si>
  <si>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</si>
  <si>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</si>
  <si>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</si>
  <si>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</si>
  <si>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</si>
  <si>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</si>
  <si>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</si>
  <si>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</si>
  <si>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</si>
  <si>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</si>
  <si>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</si>
  <si>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</si>
  <si>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</si>
  <si>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</si>
  <si>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</si>
  <si>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</si>
  <si>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</si>
  <si>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</si>
  <si>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</si>
  <si>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</si>
  <si>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</si>
  <si>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</si>
  <si>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</si>
  <si>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</si>
  <si>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</si>
  <si>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</si>
  <si>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</si>
  <si>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</si>
  <si>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</si>
  <si>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</si>
  <si>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</si>
  <si>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</si>
  <si>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</si>
  <si>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</si>
  <si>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</si>
  <si>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</si>
  <si>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</si>
  <si>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</si>
  <si>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</si>
  <si>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</si>
  <si>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</si>
  <si>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</si>
  <si>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</si>
  <si>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</si>
  <si>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</si>
  <si>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</si>
  <si>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</si>
  <si>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</si>
  <si>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</si>
  <si>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</si>
  <si>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</si>
  <si>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</si>
  <si>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</si>
  <si>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</si>
  <si>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</si>
  <si>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</si>
  <si>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</si>
  <si>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</si>
  <si>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</si>
  <si>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</si>
  <si>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</si>
  <si>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</si>
  <si>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</si>
  <si>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</si>
  <si>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</si>
  <si>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</si>
  <si>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</si>
  <si>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</si>
  <si>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</si>
  <si>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</si>
  <si>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</si>
  <si>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</si>
  <si>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</si>
  <si>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</si>
  <si>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</si>
  <si>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</si>
  <si>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</si>
  <si>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</si>
  <si>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</si>
  <si>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</si>
  <si>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</si>
  <si>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</si>
  <si>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</si>
  <si>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</si>
  <si>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</si>
  <si>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</si>
  <si>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</si>
  <si>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</si>
  <si>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</si>
  <si>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</si>
  <si>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</si>
  <si>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</si>
  <si>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</si>
  <si>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</si>
  <si>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</si>
  <si>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</si>
  <si>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</si>
  <si>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</si>
  <si>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</si>
  <si>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</si>
  <si>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</si>
  <si>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</si>
  <si>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</si>
  <si>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</si>
  <si>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</si>
  <si>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</si>
  <si>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</si>
  <si>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</si>
  <si>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</si>
  <si>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</si>
  <si>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</si>
  <si>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</si>
  <si>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</si>
  <si>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</si>
  <si>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</si>
  <si>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</si>
  <si>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</si>
  <si>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</si>
  <si>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</si>
  <si>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</si>
  <si>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</si>
  <si>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</si>
  <si>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</si>
  <si>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</si>
  <si>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</si>
  <si>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</si>
  <si>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</si>
  <si>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</si>
  <si>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</si>
  <si>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</si>
  <si>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</si>
  <si>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</si>
  <si>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</si>
  <si>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</si>
  <si>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</si>
  <si>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</si>
  <si>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</si>
  <si>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</si>
  <si>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</si>
  <si>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</si>
  <si>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</si>
  <si>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</si>
  <si>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</si>
  <si>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</si>
  <si>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</si>
  <si>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</si>
  <si>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</si>
  <si>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</si>
  <si>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</si>
  <si>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</si>
  <si>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</si>
  <si>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</si>
  <si>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</si>
  <si>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</si>
  <si>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</si>
  <si>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</si>
  <si>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</si>
  <si>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</si>
  <si>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</si>
  <si>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</si>
  <si>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</si>
  <si>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</si>
  <si>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</si>
  <si>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</si>
  <si>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</si>
  <si>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</si>
  <si>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</si>
  <si>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</si>
  <si>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</si>
  <si>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</si>
  <si>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</si>
  <si>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</si>
  <si>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</si>
  <si>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</si>
  <si>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</si>
  <si>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</si>
  <si>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</si>
  <si>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</si>
  <si>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</si>
  <si>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</si>
  <si>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</si>
  <si>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</si>
  <si>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</si>
  <si>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</si>
  <si>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</si>
  <si>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</si>
  <si>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</si>
  <si>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</si>
  <si>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</si>
  <si>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</si>
  <si>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</si>
  <si>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</si>
  <si>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</si>
  <si>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</si>
  <si>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</si>
  <si>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</si>
  <si>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</si>
  <si>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</si>
  <si>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</si>
  <si>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</si>
  <si>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</si>
  <si>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</si>
  <si>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</si>
  <si>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</si>
  <si>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</si>
  <si>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</si>
  <si>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</si>
  <si>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</si>
  <si>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</si>
  <si>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</si>
  <si>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</si>
  <si>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</si>
  <si>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</si>
  <si>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</si>
  <si>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</si>
  <si>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</si>
  <si>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</si>
  <si>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</si>
  <si>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</si>
  <si>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</si>
  <si>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</si>
  <si>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</si>
  <si>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</si>
  <si>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</si>
  <si>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</si>
  <si>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</si>
  <si>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</si>
  <si>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</si>
  <si>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</si>
  <si>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</si>
  <si>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</si>
  <si>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</si>
  <si>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</si>
  <si>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</si>
  <si>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</si>
  <si>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</si>
  <si>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</si>
  <si>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</si>
  <si>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</si>
  <si>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</si>
  <si>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</si>
  <si>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</si>
  <si>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</si>
  <si>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</si>
  <si>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</si>
  <si>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</si>
  <si>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</si>
  <si>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</si>
  <si>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</si>
  <si>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</si>
  <si>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</si>
  <si>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</si>
  <si>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</si>
  <si>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</si>
  <si>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</si>
  <si>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</si>
  <si>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</si>
  <si>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</si>
  <si>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</si>
  <si>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</si>
  <si>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</si>
  <si>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</si>
  <si>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</si>
  <si>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</si>
  <si>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</si>
  <si>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</si>
  <si>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</si>
  <si>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</si>
  <si>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</si>
  <si>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</si>
  <si>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</si>
  <si>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</si>
  <si>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</si>
  <si>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</si>
  <si>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</si>
  <si>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</si>
  <si>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</si>
  <si>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</si>
  <si>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</si>
  <si>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</si>
  <si>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</si>
  <si>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</si>
  <si>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</si>
  <si>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</si>
  <si>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</si>
  <si>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</si>
  <si>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</si>
  <si>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</si>
  <si>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</si>
  <si>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</si>
  <si>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</si>
  <si>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</si>
  <si>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</si>
  <si>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</si>
  <si>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</si>
  <si>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</si>
  <si>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</si>
  <si>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</si>
  <si>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</si>
  <si>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</si>
  <si>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</si>
  <si>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</si>
  <si>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</si>
  <si>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</si>
  <si>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</si>
  <si>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</si>
  <si>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</si>
  <si>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</si>
  <si>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</si>
  <si>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</si>
  <si>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</si>
  <si>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</si>
  <si>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</si>
  <si>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</si>
  <si>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</si>
  <si>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</si>
  <si>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</si>
  <si>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</si>
  <si>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</si>
  <si>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</si>
  <si>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</si>
  <si>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</si>
  <si>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</si>
  <si>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</si>
  <si>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</si>
  <si>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</si>
  <si>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</si>
  <si>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</si>
  <si>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</si>
  <si>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</si>
  <si>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</si>
  <si>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</si>
  <si>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</si>
  <si>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</si>
  <si>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</si>
  <si>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</si>
  <si>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</si>
  <si>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</si>
  <si>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</si>
  <si>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</si>
  <si>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</si>
  <si>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</si>
  <si>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</si>
  <si>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</si>
  <si>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</si>
  <si>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</si>
  <si>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</si>
  <si>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</si>
  <si>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</si>
  <si>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</si>
  <si>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</si>
  <si>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</si>
  <si>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</si>
  <si>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</si>
  <si>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</si>
  <si>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</si>
  <si>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</si>
  <si>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</si>
  <si>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</si>
  <si>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</si>
  <si>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</si>
  <si>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</si>
  <si>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</si>
  <si>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</si>
  <si>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</si>
  <si>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</si>
  <si>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</si>
  <si>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</si>
  <si>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</si>
  <si>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</si>
  <si>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</si>
  <si>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</si>
  <si>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</si>
  <si>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</si>
  <si>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</si>
  <si>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</si>
  <si>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</si>
  <si>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</si>
  <si>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</si>
  <si>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</si>
  <si>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</si>
  <si>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</si>
  <si>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</si>
  <si>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</si>
  <si>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</si>
  <si>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</si>
  <si>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</si>
  <si>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</si>
  <si>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</si>
  <si>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</si>
  <si>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</si>
  <si>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</si>
  <si>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</si>
  <si>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</si>
  <si>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</si>
  <si>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</si>
  <si>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</si>
  <si>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</si>
  <si>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</si>
  <si>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</si>
  <si>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</si>
  <si>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</si>
  <si>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</si>
  <si>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</si>
  <si>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</si>
  <si>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</si>
  <si>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</si>
  <si>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</si>
  <si>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</si>
  <si>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</si>
  <si>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</si>
  <si>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</si>
  <si>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</si>
  <si>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</si>
  <si>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</si>
  <si>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</si>
  <si>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</si>
  <si>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</si>
  <si>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</si>
  <si>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</si>
  <si>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</si>
  <si>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</si>
  <si>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</si>
  <si>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</si>
  <si>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</si>
  <si>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</si>
  <si>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</si>
  <si>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</si>
  <si>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</si>
  <si>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</si>
  <si>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</si>
  <si>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</si>
  <si>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</si>
  <si>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</si>
  <si>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</si>
  <si>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</si>
  <si>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</si>
  <si>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</si>
  <si>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</si>
  <si>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</si>
  <si>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</si>
  <si>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</si>
  <si>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</si>
  <si>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</si>
  <si>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</si>
  <si>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</si>
  <si>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</si>
  <si>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</si>
  <si>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</si>
  <si>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</si>
  <si>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</si>
  <si>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</si>
  <si>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</si>
  <si>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</si>
  <si>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</si>
  <si>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</si>
  <si>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</si>
  <si>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</si>
  <si>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</si>
  <si>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</si>
  <si>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</si>
  <si>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</si>
  <si>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</si>
  <si>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</si>
  <si>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</si>
  <si>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</si>
  <si>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</si>
  <si>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</si>
  <si>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</si>
  <si>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</si>
  <si>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</si>
  <si>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</si>
  <si>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</si>
  <si>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</si>
  <si>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</si>
  <si>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</si>
  <si>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</si>
  <si>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</si>
  <si>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</si>
  <si>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</si>
  <si>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</si>
  <si>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</si>
  <si>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</si>
  <si>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</si>
  <si>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</si>
  <si>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</si>
  <si>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</si>
  <si>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</si>
  <si>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</si>
  <si>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</si>
  <si>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</si>
  <si>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</si>
  <si>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</si>
  <si>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</si>
  <si>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</si>
  <si>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</si>
  <si>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</si>
  <si>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</si>
  <si>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</si>
  <si>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</si>
  <si>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</si>
  <si>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</si>
  <si>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</si>
  <si>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</si>
  <si>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</si>
  <si>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</si>
  <si>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</si>
  <si>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</si>
  <si>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</si>
  <si>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</si>
  <si>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</si>
  <si>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</si>
  <si>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</si>
  <si>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</si>
  <si>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</si>
  <si>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</si>
  <si>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</si>
  <si>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</si>
  <si>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</si>
  <si>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</si>
  <si>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</si>
  <si>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</si>
  <si>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</si>
  <si>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</si>
  <si>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</si>
  <si>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</si>
  <si>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</si>
  <si>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</si>
  <si>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</si>
  <si>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</si>
  <si>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</si>
  <si>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</si>
  <si>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</si>
  <si>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</si>
  <si>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</si>
  <si>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</si>
  <si>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</si>
  <si>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</si>
  <si>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</si>
  <si>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</si>
  <si>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</si>
  <si>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</si>
  <si>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</si>
  <si>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</si>
  <si>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</si>
  <si>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</si>
  <si>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</si>
  <si>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</si>
  <si>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</si>
  <si>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</si>
  <si>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</si>
  <si>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</si>
  <si>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</si>
  <si>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</si>
  <si>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</si>
  <si>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</si>
  <si>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</si>
  <si>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</si>
  <si>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</si>
  <si>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</si>
  <si>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</si>
  <si>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</si>
  <si>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</si>
  <si>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</si>
  <si>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</si>
  <si>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</si>
  <si>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</si>
  <si>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</si>
  <si>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</si>
  <si>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</si>
  <si>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</si>
  <si>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</si>
  <si>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</si>
  <si>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</si>
  <si>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</si>
  <si>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</si>
  <si>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</si>
  <si>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</si>
  <si>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</si>
  <si>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</si>
  <si>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</si>
  <si>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</si>
  <si>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</si>
  <si>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</si>
  <si>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</si>
  <si>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</si>
  <si>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</si>
  <si>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</si>
  <si>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</si>
  <si>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</si>
  <si>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</si>
  <si>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</si>
  <si>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</si>
  <si>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</si>
  <si>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</si>
  <si>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</si>
  <si>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</si>
  <si>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</si>
  <si>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</si>
  <si>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</si>
  <si>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</si>
  <si>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</si>
  <si>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</si>
  <si>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</si>
  <si>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</si>
  <si>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</si>
  <si>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</si>
  <si>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</si>
  <si>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</si>
  <si>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</si>
  <si>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</si>
  <si>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</si>
  <si>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</si>
  <si>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</si>
  <si>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</si>
  <si>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</si>
  <si>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</si>
  <si>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</si>
  <si>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</si>
  <si>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</si>
  <si>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</si>
  <si>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</si>
  <si>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</si>
  <si>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</si>
  <si>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</si>
  <si>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</si>
  <si>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</si>
  <si>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</si>
  <si>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</si>
  <si>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</si>
  <si>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</si>
  <si>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</si>
  <si>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</si>
  <si>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</si>
  <si>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</si>
  <si>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</si>
  <si>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</si>
  <si>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</si>
  <si>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</si>
  <si>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</si>
  <si>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</si>
  <si>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</si>
  <si>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</si>
  <si>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</si>
  <si>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</si>
  <si>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</si>
  <si>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</si>
  <si>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</si>
  <si>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</si>
  <si>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</si>
  <si>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</si>
  <si>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</si>
  <si>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</si>
  <si>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</si>
  <si>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</si>
  <si>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</si>
  <si>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</si>
  <si>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</si>
  <si>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</si>
  <si>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</si>
  <si>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</si>
  <si>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</si>
  <si>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</si>
  <si>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</si>
  <si>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</si>
  <si>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</si>
  <si>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</si>
  <si>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</si>
  <si>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</si>
  <si>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</si>
  <si>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</si>
  <si>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</si>
  <si>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</si>
  <si>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</si>
  <si>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</si>
  <si>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</si>
  <si>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</si>
  <si>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</si>
  <si>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</si>
  <si>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</si>
  <si>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</si>
  <si>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</si>
  <si>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</si>
  <si>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</si>
  <si>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</si>
  <si>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</si>
  <si>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</si>
  <si>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</si>
  <si>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</si>
  <si>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</si>
  <si>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</si>
  <si>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</si>
  <si>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</si>
  <si>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</si>
  <si>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</si>
  <si>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</si>
  <si>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</si>
  <si>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</si>
  <si>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</si>
  <si>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</si>
  <si>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</si>
  <si>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</si>
  <si>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</si>
  <si>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</si>
  <si>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</si>
  <si>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</si>
  <si>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</si>
  <si>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</si>
  <si>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</si>
  <si>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</si>
  <si>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</si>
  <si>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</si>
  <si>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</si>
  <si>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</si>
  <si>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</si>
  <si>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</si>
  <si>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</si>
  <si>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</si>
  <si>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</si>
  <si>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</si>
  <si>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</si>
  <si>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</si>
  <si>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</si>
  <si>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</si>
  <si>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</si>
  <si>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</si>
  <si>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</si>
  <si>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</si>
  <si>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</si>
  <si>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</si>
  <si>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</si>
  <si>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</si>
  <si>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</si>
  <si>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</si>
  <si>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</si>
  <si>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</si>
  <si>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</si>
  <si>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</si>
  <si>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</si>
  <si>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</si>
  <si>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</si>
  <si>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</si>
  <si>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</si>
  <si>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</si>
  <si>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</si>
  <si>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</si>
  <si>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</si>
  <si>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</si>
  <si>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</si>
  <si>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</si>
  <si>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</si>
  <si>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</si>
  <si>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</si>
  <si>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</si>
  <si>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</si>
  <si>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</si>
  <si>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</si>
  <si>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</si>
  <si>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</si>
  <si>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</si>
  <si>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</si>
  <si>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</si>
  <si>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</si>
  <si>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</si>
  <si>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</si>
  <si>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</si>
  <si>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</si>
  <si>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</si>
  <si>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</si>
  <si>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</si>
  <si>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</si>
  <si>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</si>
  <si>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</si>
  <si>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</si>
  <si>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</si>
  <si>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</si>
  <si>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</si>
  <si>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</si>
  <si>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</si>
  <si>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</si>
  <si>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</si>
  <si>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</si>
  <si>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</si>
  <si>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</si>
  <si>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</si>
  <si>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</si>
  <si>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</si>
  <si>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</si>
  <si>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</si>
  <si>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</si>
  <si>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</si>
  <si>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</si>
  <si>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</si>
  <si>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</si>
  <si>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</si>
  <si>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</si>
  <si>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</si>
  <si>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</si>
  <si>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</si>
  <si>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</si>
  <si>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</si>
  <si>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</si>
  <si>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</si>
  <si>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</si>
  <si>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</si>
  <si>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</si>
  <si>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</si>
  <si>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</si>
  <si>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</si>
  <si>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</si>
  <si>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</si>
  <si>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</si>
  <si>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</si>
  <si>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</si>
  <si>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</si>
  <si>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</si>
  <si>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</si>
  <si>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</si>
  <si>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</si>
  <si>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</si>
  <si>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</si>
  <si>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</si>
  <si>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</si>
  <si>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</si>
  <si>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</si>
  <si>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</si>
  <si>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</si>
  <si>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</si>
  <si>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</si>
  <si>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</si>
  <si>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</si>
  <si>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</si>
  <si>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</si>
  <si>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</si>
  <si>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</si>
  <si>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</si>
  <si>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</si>
  <si>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</si>
  <si>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</si>
  <si>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</si>
  <si>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</si>
  <si>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</si>
  <si>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</si>
  <si>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</si>
  <si>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</si>
  <si>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</si>
  <si>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</si>
  <si>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</si>
  <si>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</si>
  <si>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</si>
  <si>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</si>
  <si>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</si>
  <si>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</si>
  <si>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</si>
  <si>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</si>
  <si>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</si>
  <si>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</si>
  <si>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</si>
  <si>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</si>
  <si>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</si>
  <si>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</si>
  <si>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</si>
  <si>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</si>
  <si>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</si>
  <si>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</si>
  <si>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</si>
  <si>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</si>
  <si>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</si>
  <si>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</si>
  <si>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</si>
  <si>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</si>
  <si>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</si>
  <si>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</si>
  <si>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</si>
  <si>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</si>
  <si>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</si>
  <si>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</si>
  <si>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</si>
  <si>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</si>
  <si>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</si>
  <si>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</si>
  <si>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</si>
  <si>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</si>
  <si>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</si>
  <si>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</si>
  <si>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</si>
  <si>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</si>
  <si>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</si>
  <si>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</si>
  <si>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</si>
  <si>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</si>
  <si>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</si>
  <si>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</si>
  <si>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</si>
  <si>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</si>
  <si>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</si>
  <si>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</si>
  <si>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</si>
  <si>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</si>
  <si>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</si>
  <si>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</si>
  <si>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</si>
  <si>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</si>
  <si>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</si>
  <si>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</si>
  <si>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</si>
  <si>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</si>
  <si>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</si>
  <si>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</si>
  <si>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</si>
  <si>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</si>
  <si>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</si>
  <si>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</si>
  <si>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</si>
  <si>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</si>
  <si>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</si>
  <si>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</si>
  <si>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</si>
  <si>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</si>
  <si>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</si>
  <si>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</si>
  <si>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</si>
  <si>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</si>
  <si>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</si>
  <si>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</si>
  <si>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</si>
  <si>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</si>
  <si>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</si>
  <si>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</si>
  <si>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</si>
  <si>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</si>
  <si>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</si>
  <si>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</si>
  <si>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</si>
  <si>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</si>
  <si>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</si>
  <si>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</si>
  <si>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</si>
  <si>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</si>
  <si>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</si>
  <si>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</si>
  <si>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</si>
  <si>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</si>
  <si>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</si>
  <si>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</si>
  <si>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</si>
  <si>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</si>
  <si>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</si>
  <si>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</si>
  <si>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</si>
  <si>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</si>
  <si>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</si>
  <si>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</si>
  <si>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</si>
  <si>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</si>
  <si>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</si>
  <si>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</si>
  <si>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</si>
  <si>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</si>
  <si>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</si>
  <si>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</si>
  <si>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</si>
  <si>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</si>
  <si>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</si>
  <si>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</si>
  <si>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</si>
  <si>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</si>
  <si>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</si>
  <si>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</si>
  <si>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</si>
  <si>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</si>
  <si>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</si>
  <si>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</si>
  <si>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</si>
  <si>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</si>
  <si>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</si>
  <si>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</si>
  <si>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</si>
  <si>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</si>
  <si>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</si>
  <si>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</si>
  <si>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</si>
  <si>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</si>
  <si>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</si>
  <si>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</si>
  <si>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</si>
  <si>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</si>
  <si>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</si>
  <si>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</si>
  <si>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</si>
  <si>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</si>
  <si>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</si>
  <si>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</si>
  <si>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</si>
  <si>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</si>
  <si>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</si>
  <si>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</si>
  <si>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</si>
  <si>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</si>
  <si>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</si>
  <si>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</si>
  <si>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</si>
  <si>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</si>
  <si>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</si>
  <si>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</si>
  <si>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</si>
  <si>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</si>
  <si>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</si>
  <si>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</si>
  <si>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</si>
  <si>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</si>
  <si>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</si>
  <si>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</si>
  <si>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</si>
  <si>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</si>
  <si>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</si>
  <si>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</si>
  <si>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</si>
  <si>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</si>
  <si>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</si>
  <si>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</si>
  <si>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</si>
  <si>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</si>
  <si>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</si>
  <si>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</si>
  <si>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</si>
  <si>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</si>
  <si>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</si>
  <si>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</si>
  <si>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</si>
  <si>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</si>
  <si>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</si>
  <si>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</si>
  <si>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</si>
  <si>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</si>
  <si>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</si>
  <si>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</si>
  <si>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</si>
  <si>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</si>
  <si>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</si>
  <si>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</si>
  <si>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</si>
  <si>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</si>
  <si>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</si>
  <si>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</si>
  <si>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</si>
  <si>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</si>
  <si>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</si>
  <si>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</si>
  <si>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</si>
  <si>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</si>
  <si>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</si>
  <si>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</si>
  <si>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</si>
  <si>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</si>
  <si>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</si>
  <si>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</si>
  <si>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</si>
  <si>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</si>
  <si>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</si>
  <si>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</si>
  <si>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</si>
  <si>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</si>
  <si>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</si>
  <si>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</si>
  <si>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</si>
  <si>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</si>
  <si>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</si>
  <si>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</si>
  <si>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</si>
  <si>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</si>
  <si>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</si>
  <si>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</si>
  <si>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</si>
  <si>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</si>
  <si>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</si>
  <si>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</si>
  <si>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</si>
  <si>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</si>
  <si>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</si>
  <si>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</si>
  <si>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</si>
  <si>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</si>
  <si>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</si>
  <si>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</si>
  <si>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</si>
  <si>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</si>
  <si>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</si>
  <si>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</si>
  <si>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</si>
  <si>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</si>
  <si>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</si>
  <si>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</si>
  <si>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</si>
  <si>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</si>
  <si>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</si>
  <si>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</si>
  <si>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</si>
  <si>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</si>
  <si>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</si>
  <si>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</si>
  <si>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</si>
  <si>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</si>
  <si>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</si>
  <si>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</si>
  <si>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</si>
  <si>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</si>
  <si>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</si>
  <si>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</si>
  <si>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</si>
  <si>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</si>
  <si>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</si>
  <si>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</si>
  <si>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</si>
  <si>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</si>
  <si>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</si>
  <si>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</si>
  <si>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</si>
  <si>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</si>
  <si>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</si>
  <si>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</si>
  <si>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</si>
  <si>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</si>
  <si>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</si>
  <si>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</si>
  <si>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</si>
  <si>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</si>
  <si>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</si>
  <si>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</si>
  <si>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</si>
  <si>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</si>
  <si>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</si>
  <si>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</si>
  <si>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</si>
  <si>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</si>
  <si>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</si>
  <si>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</si>
  <si>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</si>
  <si>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</si>
  <si>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</si>
  <si>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</si>
  <si>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</si>
  <si>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</si>
  <si>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</si>
  <si>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</si>
  <si>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</si>
  <si>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</si>
  <si>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</si>
  <si>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</si>
  <si>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</si>
  <si>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</si>
  <si>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</si>
  <si>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</si>
  <si>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</si>
  <si>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</si>
  <si>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</si>
  <si>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</si>
  <si>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</si>
  <si>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</si>
  <si>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</si>
  <si>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</si>
  <si>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</si>
  <si>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</si>
  <si>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</si>
  <si>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</si>
  <si>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</si>
  <si>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</si>
  <si>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</si>
  <si>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</si>
  <si>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</si>
  <si>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</si>
  <si>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</si>
  <si>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</si>
  <si>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</si>
  <si>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</si>
  <si>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</si>
  <si>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</si>
  <si>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</si>
  <si>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</si>
  <si>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</si>
  <si>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</si>
  <si>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</si>
  <si>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</si>
  <si>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</si>
  <si>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</si>
  <si>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</si>
  <si>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</si>
  <si>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</si>
  <si>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</si>
  <si>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</si>
  <si>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</si>
  <si>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</si>
  <si>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</si>
  <si>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</si>
  <si>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</si>
  <si>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</si>
  <si>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</si>
  <si>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</si>
  <si>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</si>
  <si>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</si>
  <si>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</si>
  <si>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</si>
  <si>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</si>
  <si>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</si>
  <si>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</si>
  <si>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</si>
  <si>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</si>
  <si>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</si>
  <si>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</si>
  <si>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</si>
  <si>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</si>
  <si>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</si>
  <si>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</si>
  <si>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</si>
  <si>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</si>
  <si>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</si>
  <si>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</si>
  <si>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</si>
  <si>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</si>
  <si>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</si>
  <si>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</si>
  <si>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</si>
  <si>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</si>
  <si>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</si>
  <si>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</si>
  <si>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</si>
  <si>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</si>
  <si>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</si>
  <si>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</si>
  <si>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</si>
  <si>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</si>
  <si>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</si>
  <si>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</si>
  <si>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</si>
  <si>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</si>
  <si>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</si>
  <si>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</si>
  <si>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</si>
  <si>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</si>
  <si>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</si>
  <si>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</si>
  <si>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</si>
  <si>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</si>
  <si>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</si>
  <si>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</si>
  <si>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</si>
  <si>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</si>
  <si>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</si>
  <si>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</si>
  <si>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</si>
  <si>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</si>
  <si>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</si>
  <si>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</si>
  <si>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</si>
  <si>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</si>
  <si>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</si>
  <si>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</si>
  <si>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</si>
  <si>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</si>
  <si>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</si>
  <si>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</si>
  <si>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</si>
  <si>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</si>
  <si>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</si>
  <si>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</si>
  <si>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</si>
  <si>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</si>
  <si>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</si>
  <si>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</si>
  <si>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</si>
  <si>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</si>
  <si>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</si>
  <si>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</si>
  <si>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</si>
  <si>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</si>
  <si>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</si>
  <si>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</si>
  <si>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</si>
  <si>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</si>
  <si>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</si>
  <si>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</si>
  <si>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</si>
  <si>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</si>
  <si>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</si>
  <si>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</si>
  <si>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</si>
  <si>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</si>
  <si>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</si>
  <si>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</si>
  <si>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</si>
  <si>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</si>
  <si>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</si>
  <si>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</si>
  <si>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</si>
  <si>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</si>
  <si>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</si>
  <si>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</si>
  <si>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</si>
  <si>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</si>
  <si>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</si>
  <si>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</si>
  <si>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</si>
  <si>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</si>
  <si>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</si>
  <si>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</si>
  <si>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</si>
  <si>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</si>
  <si>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</si>
  <si>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</si>
  <si>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</si>
  <si>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</si>
  <si>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</si>
  <si>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</si>
  <si>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</si>
  <si>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</si>
  <si>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</si>
  <si>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</si>
  <si>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</si>
  <si>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</si>
  <si>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</si>
  <si>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</si>
  <si>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</si>
  <si>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</si>
  <si>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</si>
  <si>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</si>
  <si>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</si>
  <si>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</si>
  <si>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</si>
  <si>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</si>
  <si>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</si>
  <si>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</si>
  <si>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</si>
  <si>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</si>
  <si>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</si>
  <si>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</si>
  <si>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</si>
  <si>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</si>
  <si>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</si>
  <si>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</si>
  <si>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</si>
  <si>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</si>
  <si>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</si>
  <si>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</si>
  <si>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</si>
  <si>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</si>
  <si>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</si>
  <si>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</si>
  <si>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</si>
  <si>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</si>
  <si>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</si>
  <si>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</si>
  <si>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</si>
  <si>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</si>
  <si>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</si>
  <si>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</si>
  <si>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</si>
  <si>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</si>
  <si>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</si>
  <si>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</si>
  <si>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</si>
  <si>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</si>
  <si>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</si>
  <si>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</si>
  <si>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</si>
  <si>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</si>
  <si>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</si>
  <si>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</si>
  <si>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</si>
  <si>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</si>
  <si>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</si>
  <si>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</si>
  <si>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</si>
  <si>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</si>
  <si>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</si>
  <si>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</si>
  <si>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</si>
  <si>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</si>
  <si>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</si>
  <si>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</si>
  <si>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</si>
  <si>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</si>
  <si>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</si>
  <si>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</si>
  <si>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</si>
  <si>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</si>
  <si>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</si>
  <si>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</si>
  <si>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</si>
  <si>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</si>
  <si>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</si>
  <si>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</si>
  <si>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</si>
  <si>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</si>
  <si>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</si>
  <si>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</si>
  <si>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</si>
  <si>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</si>
  <si>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</si>
  <si>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</si>
  <si>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</si>
  <si>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</si>
  <si>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</si>
  <si>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</si>
  <si>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</si>
  <si>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</si>
  <si>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</si>
  <si>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</si>
  <si>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</si>
  <si>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</si>
  <si>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</si>
  <si>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</si>
  <si>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</si>
  <si>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</si>
  <si>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</si>
  <si>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</si>
  <si>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</si>
  <si>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</si>
  <si>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</si>
  <si>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</si>
  <si>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</si>
  <si>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</si>
  <si>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</si>
  <si>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</si>
  <si>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</si>
  <si>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</si>
  <si>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</si>
  <si>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</si>
  <si>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</si>
  <si>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</si>
  <si>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</si>
  <si>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</si>
  <si>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</si>
  <si>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</si>
  <si>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</si>
  <si>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</si>
  <si>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</si>
  <si>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</si>
  <si>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</si>
  <si>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</si>
  <si>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</si>
  <si>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</si>
  <si>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</si>
  <si>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</si>
  <si>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</si>
  <si>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</si>
  <si>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</si>
  <si>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</si>
  <si>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</si>
  <si>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</si>
  <si>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</si>
  <si>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</si>
  <si>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</si>
  <si>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</si>
  <si>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</si>
  <si>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</si>
  <si>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</si>
  <si>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</si>
  <si>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</si>
  <si>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</si>
  <si>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</si>
  <si>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</si>
  <si>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</si>
  <si>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</si>
  <si>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</si>
  <si>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</si>
  <si>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</si>
  <si>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</si>
  <si>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</si>
  <si>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</si>
  <si>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</si>
  <si>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</si>
  <si>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</si>
  <si>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</si>
  <si>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</si>
  <si>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</si>
  <si>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</si>
  <si>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</si>
  <si>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</si>
  <si>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</si>
  <si>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</si>
  <si>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</si>
  <si>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</si>
  <si>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</si>
  <si>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</si>
  <si>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</si>
  <si>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</si>
  <si>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</si>
  <si>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</si>
  <si>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</si>
  <si>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</si>
  <si>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</si>
  <si>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</si>
  <si>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</si>
  <si>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</si>
  <si>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</si>
  <si>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</si>
  <si>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</si>
  <si>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</si>
  <si>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</si>
  <si>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</si>
  <si>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</si>
  <si>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</si>
  <si>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</si>
  <si>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</si>
  <si>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</si>
  <si>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</si>
  <si>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</si>
  <si>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</si>
  <si>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</si>
  <si>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</si>
  <si>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</si>
  <si>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</si>
  <si>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</si>
  <si>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</si>
  <si>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</si>
  <si>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</si>
  <si>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</si>
  <si>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</si>
  <si>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</si>
  <si>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</si>
  <si>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</si>
  <si>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</si>
  <si>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</si>
  <si>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</si>
  <si>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</si>
  <si>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</si>
  <si>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</si>
  <si>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</si>
  <si>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</si>
  <si>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</si>
  <si>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</si>
  <si>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</si>
  <si>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</si>
  <si>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</si>
  <si>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</si>
  <si>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</si>
  <si>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</si>
  <si>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</si>
  <si>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</si>
  <si>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</si>
  <si>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</si>
  <si>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</si>
  <si>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</si>
  <si>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</si>
  <si>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</si>
  <si>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</si>
  <si>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</si>
  <si>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</si>
  <si>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</si>
  <si>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</si>
  <si>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</si>
  <si>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</si>
  <si>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</si>
  <si>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</si>
  <si>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</si>
  <si>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</si>
  <si>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</si>
  <si>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</si>
  <si>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</si>
  <si>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</si>
  <si>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</si>
  <si>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</si>
  <si>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</si>
  <si>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</si>
  <si>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</si>
  <si>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</si>
  <si>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</si>
  <si>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</si>
  <si>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</si>
  <si>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</si>
  <si>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</si>
  <si>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</si>
  <si>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</si>
  <si>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</si>
  <si>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</si>
  <si>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</si>
  <si>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</si>
  <si>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</si>
  <si>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</si>
  <si>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</si>
  <si>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</si>
  <si>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</si>
  <si>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</si>
  <si>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</si>
  <si>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</si>
  <si>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</si>
  <si>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</si>
  <si>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</si>
  <si>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</si>
  <si>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</si>
  <si>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</si>
  <si>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</si>
  <si>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</si>
  <si>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</si>
  <si>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</si>
  <si>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</si>
  <si>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</si>
  <si>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</si>
  <si>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</si>
  <si>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</si>
  <si>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</si>
  <si>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</si>
  <si>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</si>
  <si>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</si>
  <si>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</si>
  <si>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</si>
  <si>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</si>
  <si>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</si>
  <si>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</si>
  <si>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</si>
  <si>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</si>
  <si>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</si>
  <si>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</si>
  <si>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</si>
  <si>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</si>
  <si>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</si>
  <si>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</si>
  <si>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</si>
  <si>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</si>
  <si>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</si>
  <si>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</si>
  <si>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</si>
  <si>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</si>
  <si>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</si>
  <si>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</si>
  <si>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</si>
  <si>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</si>
  <si>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</si>
  <si>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</si>
  <si>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</si>
  <si>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</si>
  <si>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</si>
  <si>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</si>
  <si>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</si>
  <si>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</si>
  <si>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</si>
  <si>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</si>
  <si>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</si>
  <si>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</si>
  <si>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</si>
  <si>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</si>
  <si>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</si>
  <si>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</si>
  <si>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</si>
  <si>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</si>
  <si>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</si>
  <si>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</si>
  <si>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</si>
  <si>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</si>
  <si>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</si>
  <si>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</si>
  <si>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</si>
  <si>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</si>
  <si>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</si>
  <si>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</si>
  <si>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</si>
  <si>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</si>
  <si>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</si>
  <si>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</si>
  <si>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</si>
  <si>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</si>
  <si>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</si>
  <si>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</si>
  <si>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</si>
  <si>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</si>
  <si>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</si>
  <si>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</si>
  <si>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</si>
  <si>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</si>
  <si>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</si>
  <si>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</si>
  <si>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</si>
  <si>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</si>
  <si>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</si>
  <si>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</si>
  <si>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</si>
  <si>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</si>
  <si>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</si>
  <si>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</si>
  <si>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</si>
  <si>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</si>
  <si>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</si>
  <si>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</si>
  <si>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</si>
  <si>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</si>
  <si>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</si>
  <si>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</si>
  <si>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</si>
  <si>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</si>
  <si>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</si>
  <si>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</si>
  <si>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</si>
  <si>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</si>
  <si>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</si>
  <si>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</si>
  <si>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</si>
  <si>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</si>
  <si>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</si>
  <si>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</si>
  <si>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</si>
  <si>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</si>
  <si>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</si>
  <si>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</si>
  <si>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</si>
  <si>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</si>
  <si>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</si>
  <si>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</si>
  <si>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</si>
  <si>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</si>
  <si>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</si>
  <si>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</si>
  <si>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</si>
  <si>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</si>
  <si>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</si>
  <si>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</si>
  <si>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</si>
  <si>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</si>
  <si>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</si>
  <si>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</si>
  <si>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</si>
  <si>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</si>
  <si>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</si>
  <si>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</si>
  <si>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</si>
  <si>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</si>
  <si>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</si>
  <si>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</si>
  <si>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</si>
  <si>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</si>
  <si>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</si>
  <si>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</si>
  <si>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</si>
  <si>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</si>
  <si>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</si>
  <si>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</si>
  <si>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</si>
  <si>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</si>
  <si>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</si>
  <si>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</si>
  <si>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</si>
  <si>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</si>
  <si>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</si>
  <si>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</si>
  <si>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</si>
  <si>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</si>
  <si>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</si>
  <si>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</si>
  <si>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</si>
  <si>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</si>
  <si>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</si>
  <si>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</si>
  <si>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</si>
  <si>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</si>
  <si>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</si>
  <si>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</si>
  <si>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</si>
  <si>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</si>
  <si>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</si>
  <si>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</si>
  <si>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</si>
  <si>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</si>
  <si>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</si>
  <si>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</si>
  <si>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</si>
  <si>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</si>
  <si>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</si>
  <si>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</si>
  <si>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</si>
  <si>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</si>
  <si>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</si>
  <si>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</si>
  <si>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</si>
  <si>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</si>
  <si>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</si>
  <si>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</si>
  <si>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</si>
  <si>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</si>
  <si>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</si>
  <si>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</si>
  <si>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</si>
  <si>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</si>
  <si>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</si>
  <si>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</si>
  <si>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</si>
  <si>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</si>
  <si>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</si>
  <si>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</si>
  <si>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</si>
  <si>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</si>
  <si>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</si>
  <si>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</si>
  <si>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</si>
  <si>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</si>
  <si>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</si>
  <si>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</si>
  <si>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</si>
  <si>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</si>
  <si>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</si>
  <si>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</si>
  <si>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</si>
  <si>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</si>
  <si>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</si>
  <si>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</si>
  <si>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</si>
  <si>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</si>
  <si>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</si>
  <si>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</si>
  <si>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</si>
  <si>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</si>
  <si>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</si>
  <si>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</si>
  <si>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</si>
  <si>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</si>
  <si>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</si>
  <si>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</si>
  <si>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</si>
  <si>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</si>
  <si>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</si>
  <si>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</si>
  <si>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</si>
  <si>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</si>
  <si>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</si>
  <si>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</si>
  <si>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</si>
  <si>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</si>
  <si>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</si>
  <si>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</si>
  <si>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</si>
  <si>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</si>
  <si>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</si>
  <si>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</si>
  <si>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</si>
  <si>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</si>
  <si>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</si>
  <si>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</si>
  <si>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</si>
  <si>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</si>
  <si>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</si>
  <si>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</si>
  <si>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</si>
  <si>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</si>
  <si>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</si>
  <si>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</si>
  <si>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</si>
  <si>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</si>
  <si>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</si>
  <si>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</si>
  <si>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</si>
  <si>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</si>
  <si>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</si>
  <si>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</si>
  <si>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</si>
  <si>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</si>
  <si>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</si>
  <si>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</si>
  <si>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</si>
  <si>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</si>
  <si>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</si>
  <si>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</si>
  <si>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</si>
  <si>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</si>
  <si>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</si>
  <si>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</si>
  <si>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</si>
  <si>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</si>
  <si>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</si>
  <si>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</si>
  <si>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</si>
  <si>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</si>
  <si>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</si>
  <si>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</si>
  <si>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</si>
  <si>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</si>
  <si>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</si>
  <si>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</si>
  <si>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</si>
  <si>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</si>
  <si>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</si>
  <si>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</si>
  <si>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</si>
  <si>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</si>
  <si>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</si>
  <si>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</si>
  <si>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</si>
  <si>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</si>
  <si>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</si>
  <si>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</si>
  <si>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</si>
  <si>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</si>
  <si>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</si>
  <si>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</si>
  <si>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</si>
  <si>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</si>
  <si>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</si>
  <si>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</si>
  <si>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</si>
  <si>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</si>
  <si>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</si>
  <si>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</si>
  <si>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</si>
  <si>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</si>
  <si>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</si>
  <si>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</si>
  <si>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</si>
  <si>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</si>
  <si>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</si>
  <si>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</si>
  <si>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</si>
  <si>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</si>
  <si>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</si>
  <si>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</si>
  <si>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</si>
  <si>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</si>
  <si>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</si>
  <si>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</si>
  <si>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</si>
  <si>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</si>
  <si>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</si>
  <si>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</si>
  <si>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</si>
  <si>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</si>
  <si>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</si>
  <si>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</si>
  <si>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</si>
  <si>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</si>
  <si>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</si>
  <si>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</si>
  <si>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</si>
  <si>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</si>
  <si>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</si>
  <si>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</si>
  <si>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</si>
  <si>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</si>
  <si>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</si>
  <si>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</si>
  <si>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</si>
  <si>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</si>
  <si>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</si>
  <si>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</si>
  <si>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</si>
  <si>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</si>
  <si>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</si>
  <si>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</si>
  <si>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</si>
  <si>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</si>
  <si>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</si>
  <si>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</si>
  <si>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</si>
  <si>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</si>
  <si>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</si>
  <si>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</si>
  <si>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</si>
  <si>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</si>
  <si>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</si>
  <si>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</si>
  <si>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</si>
  <si>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</si>
  <si>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</si>
  <si>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</si>
  <si>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</si>
  <si>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</si>
  <si>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</si>
  <si>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</si>
  <si>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</si>
  <si>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</si>
  <si>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</si>
  <si>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</si>
  <si>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</si>
  <si>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</si>
  <si>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</si>
  <si>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</si>
  <si>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</si>
  <si>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</si>
  <si>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</si>
  <si>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</si>
  <si>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</si>
  <si>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</si>
  <si>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</si>
  <si>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</si>
  <si>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</si>
  <si>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</si>
  <si>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</si>
  <si>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</si>
  <si>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</si>
  <si>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</si>
  <si>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</si>
  <si>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</si>
  <si>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</si>
  <si>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</si>
  <si>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</si>
  <si>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</si>
  <si>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</si>
  <si>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</si>
  <si>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</si>
  <si>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</si>
  <si>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</si>
  <si>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</si>
  <si>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</si>
  <si>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</si>
  <si>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</si>
  <si>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</si>
  <si>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</si>
  <si>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</si>
  <si>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</si>
  <si>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</si>
  <si>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</si>
  <si>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</si>
  <si>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</si>
  <si>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</si>
  <si>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</si>
  <si>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</si>
  <si>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</si>
  <si>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</si>
  <si>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</si>
  <si>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</si>
  <si>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</si>
  <si>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</si>
  <si>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</si>
  <si>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</si>
  <si>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</si>
  <si>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</si>
  <si>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</si>
  <si>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</si>
  <si>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</si>
  <si>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</si>
  <si>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</si>
  <si>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</si>
  <si>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</si>
  <si>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</si>
  <si>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</si>
  <si>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</si>
  <si>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</si>
  <si>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</si>
  <si>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</si>
  <si>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</si>
  <si>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</si>
  <si>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</si>
  <si>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</si>
  <si>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</si>
  <si>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</si>
  <si>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</si>
  <si>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</si>
  <si>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</si>
  <si>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</si>
  <si>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</si>
  <si>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</si>
  <si>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</si>
  <si>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</si>
  <si>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</si>
  <si>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</si>
  <si>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</si>
  <si>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</si>
  <si>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</si>
  <si>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</si>
  <si>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</si>
  <si>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</si>
  <si>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</si>
  <si>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</si>
  <si>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</si>
  <si>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</si>
  <si>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</si>
  <si>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</si>
  <si>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</si>
  <si>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</si>
  <si>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</si>
  <si>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</si>
  <si>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</si>
  <si>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</si>
  <si>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</si>
  <si>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</si>
  <si>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</si>
  <si>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</si>
  <si>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</si>
  <si>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</si>
  <si>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</si>
  <si>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</si>
  <si>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</si>
  <si>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</si>
  <si>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</si>
  <si>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</si>
  <si>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</si>
  <si>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</si>
  <si>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</si>
  <si>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</si>
  <si>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</si>
  <si>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</si>
  <si>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</si>
  <si>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</si>
  <si>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</si>
  <si>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</si>
  <si>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</si>
  <si>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</si>
  <si>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</si>
  <si>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</si>
  <si>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</si>
  <si>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</si>
  <si>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</si>
  <si>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</si>
  <si>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</si>
  <si>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</si>
  <si>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</si>
  <si>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</si>
  <si>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</si>
  <si>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</si>
  <si>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</si>
  <si>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</si>
  <si>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</si>
  <si>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</si>
  <si>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</si>
  <si>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</si>
  <si>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</si>
  <si>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</si>
  <si>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</si>
  <si>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</si>
  <si>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</si>
  <si>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</si>
  <si>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</si>
  <si>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</si>
  <si>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</si>
  <si>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</si>
  <si>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</si>
  <si>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</si>
  <si>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</si>
  <si>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</si>
  <si>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</si>
  <si>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</si>
  <si>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</si>
  <si>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</si>
  <si>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</si>
  <si>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</si>
  <si>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</si>
  <si>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</si>
  <si>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</si>
  <si>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</si>
  <si>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</si>
  <si>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</si>
  <si>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</si>
  <si>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</si>
  <si>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</si>
  <si>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</si>
  <si>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</si>
  <si>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</si>
  <si>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</si>
  <si>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</si>
  <si>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</si>
  <si>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</si>
  <si>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</si>
  <si>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</si>
  <si>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</si>
  <si>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</si>
  <si>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</si>
  <si>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</si>
  <si>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</si>
  <si>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</si>
  <si>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</si>
  <si>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</si>
  <si>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</si>
  <si>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</si>
  <si>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</si>
  <si>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</si>
  <si>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</si>
  <si>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</si>
  <si>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</si>
  <si>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</si>
  <si>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</si>
  <si>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</si>
  <si>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</si>
  <si>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</si>
  <si>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</si>
  <si>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</si>
  <si>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</si>
  <si>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</si>
  <si>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</si>
  <si>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</si>
  <si>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</si>
  <si>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</si>
  <si>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</si>
  <si>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</si>
  <si>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</si>
  <si>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</si>
  <si>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</si>
  <si>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</si>
  <si>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</si>
  <si>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</si>
  <si>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</si>
  <si>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</si>
  <si>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</si>
  <si>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</si>
  <si>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</si>
  <si>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</si>
  <si>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</si>
  <si>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</si>
  <si>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</si>
  <si>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</si>
  <si>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</si>
  <si>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</si>
  <si>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</si>
  <si>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</si>
  <si>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</si>
  <si>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</si>
  <si>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</si>
  <si>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</si>
  <si>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</si>
  <si>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</si>
  <si>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</si>
  <si>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</si>
  <si>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</si>
  <si>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</si>
  <si>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</si>
  <si>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</si>
  <si>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</si>
  <si>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</si>
  <si>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</si>
  <si>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</si>
  <si>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</si>
  <si>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</si>
  <si>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</si>
  <si>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</si>
  <si>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</si>
  <si>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</si>
  <si>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</si>
  <si>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</si>
  <si>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</si>
  <si>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</si>
  <si>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</si>
  <si>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</si>
  <si>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</si>
  <si>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</si>
  <si>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</si>
  <si>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</si>
  <si>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</si>
  <si>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</si>
  <si>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</si>
  <si>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</si>
  <si>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</si>
  <si>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</si>
  <si>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</si>
  <si>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</si>
  <si>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</si>
  <si>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</si>
  <si>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</si>
  <si>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</si>
  <si>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</si>
  <si>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</si>
  <si>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</si>
  <si>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</si>
  <si>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</si>
  <si>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</si>
  <si>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</si>
  <si>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</si>
  <si>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</si>
  <si>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</si>
  <si>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</si>
  <si>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</si>
  <si>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</si>
  <si>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</si>
  <si>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</si>
  <si>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</si>
  <si>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</si>
  <si>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</si>
  <si>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</si>
  <si>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</si>
  <si>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</si>
  <si>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</si>
  <si>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</si>
  <si>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</si>
  <si>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</si>
  <si>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</si>
  <si>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</si>
  <si>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</si>
  <si>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</si>
  <si>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</si>
  <si>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</si>
  <si>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</si>
  <si>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</si>
  <si>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</si>
  <si>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CID002508</t>
  </si>
  <si>
    <t>CID002570</t>
  </si>
  <si>
    <t>CID004717</t>
  </si>
  <si>
    <t>NVE Corporation</t>
  </si>
  <si>
    <t>NVE Compliance Dept.</t>
  </si>
  <si>
    <t>compliance@nve.com</t>
  </si>
  <si>
    <t>952-829-9217</t>
  </si>
  <si>
    <t>Daniel A. Baker</t>
  </si>
  <si>
    <t>President &amp; CEO</t>
  </si>
  <si>
    <t>100%</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</si>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</sst>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65816E-AE6C-456D-804B-FDE3D025C3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904DF64-36FE-4FF0-ADAB-0CDE5D93A90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2" zoomScale="80" zoomScaleNormal="80" zoomScalePageLayoutView="70" workbookViewId="0">
      <selection activeCell="G81" sqref="G81:J8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15820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46107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6D9399-ED36-4A41-A79B-5F74CA65EAFB}"/>
    <hyperlink ref="D20" r:id="rId4" xr:uid="{60141E1A-6A91-483B-8920-552327D23A4F}"/>
    <hyperlink ref="G77" r:id="rId5" xr:uid="{FD5B1131-0112-4C52-B965-B00D0D0193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21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19.95"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19.95"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9.95"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19.95"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19.95"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19.95"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19.95"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19.95"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19.95"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19.95"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19.95"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19.95"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19.95"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20.399999999999999">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20.399999999999999">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3"/>
        <v>0</v>
      </c>
      <c r="AB20" s="228" t="str">
        <f t="shared" ca="1" si="4"/>
        <v>TungstenGuangdong Xianglu Tungsten Co., Ltd.</v>
      </c>
    </row>
    <row r="21" spans="1:28" s="227" customFormat="1" ht="20.399999999999999">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ca="1" si="3"/>
        <v>0</v>
      </c>
      <c r="AB21" s="228" t="str">
        <f t="shared" ca="1" si="4"/>
        <v>TinChenzhou Yunxiang Mining and Metallurgy Co., Ltd.</v>
      </c>
    </row>
    <row r="22" spans="1:28" s="227" customFormat="1" ht="20.399999999999999">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20.399999999999999">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3"/>
        <v>0</v>
      </c>
      <c r="AB23" s="228" t="str">
        <f t="shared" ca="1" si="4"/>
        <v>TungstenChongyi Zhangyuan Tungsten Co., Ltd.</v>
      </c>
    </row>
    <row r="24" spans="1:28" s="227" customFormat="1" ht="20.399999999999999">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3"/>
        <v>0</v>
      </c>
      <c r="AB24" s="228" t="str">
        <f t="shared" ca="1" si="4"/>
        <v>GoldChugai Mining</v>
      </c>
    </row>
    <row r="25" spans="1:28" s="227" customFormat="1" ht="20.399999999999999">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3"/>
        <v>0</v>
      </c>
      <c r="AB25" s="228" t="str">
        <f t="shared" ca="1" si="4"/>
        <v>TantalumGuangdong Rising Rare Metals-EO Materials Ltd.</v>
      </c>
    </row>
    <row r="26" spans="1:28" s="227" customFormat="1" ht="20.399999999999999">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20.399999999999999">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3"/>
        <v>0</v>
      </c>
      <c r="AB27" s="228" t="str">
        <f t="shared" ca="1" si="4"/>
        <v>TinPT Premium Tin Indonesia</v>
      </c>
    </row>
    <row r="28" spans="1:28" s="227" customFormat="1" ht="20.399999999999999">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3"/>
        <v>0</v>
      </c>
      <c r="AB28" s="228" t="str">
        <f t="shared" ca="1" si="4"/>
        <v>GoldDSC (Do Sung Corporation)</v>
      </c>
    </row>
    <row r="29" spans="1:28" s="227" customFormat="1" ht="20.399999999999999">
      <c r="A29" s="181" t="s">
        <v>15690</v>
      </c>
      <c r="B29" s="182" t="str">
        <f ca="1">IF(LEN(A29)=0,"",INDEX('Smelter Look-up'!$A:$A,MATCH($A29,'Smelter Look-up'!$E:$E,0)))</f>
        <v>Tin</v>
      </c>
      <c r="C29" s="186" t="str">
        <f ca="1">IF(LEN(A29)=0,"",INDEX('Smelter Look-up'!$C:$C,MATCH($A29,'Smelter Look-up'!$E:$E,0)))</f>
        <v>Dongguan Best Alloys Co., Ltd.</v>
      </c>
      <c r="D29" s="230"/>
      <c r="E29" s="182" t="str">
        <f ca="1">IF(ISERROR($V29),"",OFFSET('Smelter Look-up'!$D$4,$V29-4,0)&amp;"")</f>
        <v>CHINA</v>
      </c>
      <c r="F29" s="182" t="str">
        <f ca="1">IF(ISERROR($V29),"",OFFSET('Smelter Look-up'!$E$4,$V29-4,0))</f>
        <v>CID000377</v>
      </c>
      <c r="G29" s="182" t="str">
        <f ca="1">IF(C29=$X$4,IF(ISERROR($V29),"Enter smelter details","RMI"),IF(ISERROR($V29),"",OFFSET('Smelter Look-up'!$F$4,$V29-4,0)))</f>
        <v>RMI</v>
      </c>
      <c r="H29" s="183">
        <f ca="1">IF(ISERROR($V29),"",OFFSET('Smelter Look-up'!$G$4,$V29-4,0))</f>
        <v>0</v>
      </c>
      <c r="I29" s="184" t="str">
        <f ca="1">IF(ISERROR($V29),"",OFFSET('Smelter Look-up'!$H$4,$V29-4,0))</f>
        <v>Dongguan City</v>
      </c>
      <c r="J29" s="184" t="str">
        <f ca="1">IF(ISERROR($V29),"",OFFSET('Smelter Look-up'!$I$4,$V29-4,0))</f>
        <v>Guangdong Sheng</v>
      </c>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422</v>
      </c>
      <c r="X29" s="227">
        <f t="shared" ca="1" si="3"/>
        <v>0</v>
      </c>
      <c r="AB29" s="228" t="str">
        <f t="shared" ca="1" si="4"/>
        <v>TinDongguan Best Alloys Co., Ltd.</v>
      </c>
    </row>
    <row r="30" spans="1:28" s="227" customFormat="1" ht="20.399999999999999">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399999999999999">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20.399999999999999">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20.399999999999999">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20.399999999999999">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20.399999999999999">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0.399999999999999">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20.399999999999999">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20.399999999999999">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20.399999999999999">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20.399999999999999">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20.399999999999999">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20.399999999999999">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20.399999999999999">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20.399999999999999">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20.399999999999999">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20.399999999999999">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0.399999999999999">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20.399999999999999">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20.399999999999999">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20.399999999999999">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20.399999999999999">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20.399999999999999">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20.399999999999999">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20.399999999999999">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0.399999999999999">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20.399999999999999">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20.399999999999999">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20.399999999999999">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20.399999999999999">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20.399999999999999">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20.399999999999999">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20.399999999999999">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6"/>
        <v>0</v>
      </c>
      <c r="AB62" s="228" t="str">
        <f t="shared" ca="1" si="7"/>
        <v>GoldMaterion</v>
      </c>
    </row>
    <row r="63" spans="1:28" s="227" customFormat="1" ht="20.399999999999999">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20.399999999999999">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6"/>
        <v>0</v>
      </c>
      <c r="AB64" s="228" t="str">
        <f t="shared" ca="1" si="7"/>
        <v>TinMetallic Resources, Inc.</v>
      </c>
    </row>
    <row r="65" spans="1:28" s="227" customFormat="1" ht="20.399999999999999">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6"/>
        <v>0</v>
      </c>
      <c r="AB65" s="228" t="str">
        <f t="shared" ca="1" si="7"/>
        <v>GoldMetalor Technologies (Suzhou) Ltd.</v>
      </c>
    </row>
    <row r="66" spans="1:28" s="227" customFormat="1" ht="20.399999999999999">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6"/>
        <v>0</v>
      </c>
      <c r="AB66" s="228" t="str">
        <f t="shared" ca="1" si="7"/>
        <v>GoldMetalor Technologies (Hong Kong) Ltd.</v>
      </c>
    </row>
    <row r="67" spans="1:28" s="227" customFormat="1" ht="20.399999999999999">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ca="1" si="6"/>
        <v>0</v>
      </c>
      <c r="AB67" s="228" t="str">
        <f t="shared" ca="1" si="7"/>
        <v>GoldMetalor Technologies (Singapore) Pte., Ltd.</v>
      </c>
    </row>
    <row r="68" spans="1:28" s="227" customFormat="1" ht="20.399999999999999">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ca="1" si="6"/>
        <v>0</v>
      </c>
      <c r="AB68" s="228" t="str">
        <f t="shared" ca="1" si="7"/>
        <v>GoldMetalor Technologies S.A.</v>
      </c>
    </row>
    <row r="69" spans="1:28" s="227" customFormat="1" ht="20.399999999999999">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ref="X69" ca="1" si="9">IF(AND(C69="Smelter not listed",OR(LEN(D69)=0,LEN(E69)=0)),1,0)</f>
        <v>0</v>
      </c>
      <c r="AB69" s="228" t="str">
        <f t="shared" ref="AB69" ca="1" si="10">B69&amp;C69</f>
        <v>GoldMetalor USA Refining Corporation</v>
      </c>
    </row>
    <row r="70" spans="1:28" s="227" customFormat="1" ht="20.399999999999999">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ref="X70:X101" ca="1" si="12">IF(AND(C70="Smelter not listed",OR(LEN(D70)=0,LEN(E70)=0)),1,0)</f>
        <v>0</v>
      </c>
      <c r="AB70" s="228" t="str">
        <f t="shared" ref="AB70:AB101" ca="1" si="13">B70&amp;C70</f>
        <v>GoldMetalurgica Met-Mex Penoles S.A. De C.V.</v>
      </c>
    </row>
    <row r="71" spans="1:28" s="227" customFormat="1" ht="20.399999999999999">
      <c r="A71" s="181" t="s">
        <v>734</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 ca="1">IF(C71="",NA(),IF(OR(C71="Smelter not listed",C71="Smelter not yet identified"),MATCH($B71&amp;$D71,'Smelter Look-up'!$J:$J,0),MATCH($B71&amp;$C71,'Smelter Look-up'!$J:$J,0)))</f>
        <v>362</v>
      </c>
      <c r="X71" s="227">
        <f t="shared" ca="1" si="12"/>
        <v>0</v>
      </c>
      <c r="AB71" s="228" t="str">
        <f t="shared" ca="1" si="13"/>
        <v>TantalumMetallurgical Products India Pvt., Ltd.</v>
      </c>
    </row>
    <row r="72" spans="1:28" s="227" customFormat="1" ht="20.399999999999999">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2"/>
        <v>0</v>
      </c>
      <c r="AB72" s="228" t="str">
        <f t="shared" ca="1" si="13"/>
        <v>TinMineracao Taboca S.A.</v>
      </c>
    </row>
    <row r="73" spans="1:28" s="227" customFormat="1" ht="20.399999999999999">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2"/>
        <v>0</v>
      </c>
      <c r="AB73" s="228" t="str">
        <f t="shared" ca="1" si="13"/>
        <v>TantalumMineracao Taboca S.A.</v>
      </c>
    </row>
    <row r="74" spans="1:28" s="227" customFormat="1" ht="20.399999999999999">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2"/>
        <v>0</v>
      </c>
      <c r="AB74" s="228" t="str">
        <f t="shared" ca="1" si="13"/>
        <v>TinMinsur</v>
      </c>
    </row>
    <row r="75" spans="1:28" s="227" customFormat="1" ht="20.399999999999999">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2"/>
        <v>0</v>
      </c>
      <c r="AB75" s="228" t="str">
        <f t="shared" ca="1" si="13"/>
        <v>GoldMitsubishi Materials Corporation</v>
      </c>
    </row>
    <row r="76" spans="1:28" s="227" customFormat="1" ht="20.399999999999999">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2"/>
        <v>0</v>
      </c>
      <c r="AB76" s="228" t="str">
        <f t="shared" ca="1" si="13"/>
        <v>TinMitsubishi Materials Corporation</v>
      </c>
    </row>
    <row r="77" spans="1:28" s="227" customFormat="1" ht="20.399999999999999">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2"/>
        <v>0</v>
      </c>
      <c r="AB77" s="228" t="str">
        <f t="shared" ca="1" si="13"/>
        <v>TantalumMitsui Mining and Smelting Co., Ltd.</v>
      </c>
    </row>
    <row r="78" spans="1:28" s="227" customFormat="1" ht="20.399999999999999">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2"/>
        <v>0</v>
      </c>
      <c r="AB78" s="228" t="str">
        <f t="shared" ca="1" si="13"/>
        <v>GoldMitsui Mining and Smelting Co., Ltd.</v>
      </c>
    </row>
    <row r="79" spans="1:28" s="227" customFormat="1" ht="20.399999999999999">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2"/>
        <v>0</v>
      </c>
      <c r="AB79" s="228" t="str">
        <f t="shared" ca="1" si="13"/>
        <v>TantalumNPM Silmet AS</v>
      </c>
    </row>
    <row r="80" spans="1:28" s="227" customFormat="1" ht="20.399999999999999">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2"/>
        <v>0</v>
      </c>
      <c r="AB80" s="228" t="str">
        <f t="shared" ca="1" si="13"/>
        <v>GoldNadir Metal Rafineri San. Ve Tic. A.S.</v>
      </c>
    </row>
    <row r="81" spans="1:28" s="227" customFormat="1" ht="20.399999999999999">
      <c r="A81" s="181" t="s">
        <v>695</v>
      </c>
      <c r="B81" s="182" t="str">
        <f ca="1">IF(LEN(A81)=0,"",INDEX('Smelter Look-up'!$A:$A,MATCH($A81,'Smelter Look-up'!$E:$E,0)))</f>
        <v>Gold</v>
      </c>
      <c r="C81" s="186" t="str">
        <f ca="1">IF(LEN(A81)=0,"",INDEX('Smelter Look-up'!$C:$C,MATCH($A81,'Smelter Look-up'!$E:$E,0)))</f>
        <v>Navoi Mining and Metallurgical Combinat</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 ca="1">IF(C81="",NA(),IF(OR(C81="Smelter not listed",C81="Smelter not yet identified"),MATCH($B81&amp;$D81,'Smelter Look-up'!$J:$J,0),MATCH($B81&amp;$C81,'Smelter Look-up'!$J:$J,0)))</f>
        <v>199</v>
      </c>
      <c r="X81" s="227">
        <f t="shared" ca="1" si="12"/>
        <v>0</v>
      </c>
      <c r="AB81" s="228" t="str">
        <f t="shared" ca="1" si="13"/>
        <v>GoldNavoi Mining and Metallurgical Combinat</v>
      </c>
    </row>
    <row r="82" spans="1:28" s="227" customFormat="1" ht="20.399999999999999">
      <c r="A82" s="181" t="s">
        <v>696</v>
      </c>
      <c r="B82" s="182" t="str">
        <f ca="1">IF(LEN(A82)=0,"",INDEX('Smelter Look-up'!$A:$A,MATCH($A82,'Smelter Look-up'!$E:$E,0)))</f>
        <v>Gold</v>
      </c>
      <c r="C82" s="186" t="str">
        <f ca="1">IF(LEN(A82)=0,"",INDEX('Smelter Look-up'!$C:$C,MATCH($A82,'Smelter Look-up'!$E:$E,0)))</f>
        <v>Nihon Material Co., Ltd.</v>
      </c>
      <c r="D82" s="230"/>
      <c r="E82" s="182" t="str">
        <f ca="1">IF(ISERROR($V82),"",OFFSET('Smelter Look-up'!$D$4,$V82-4,0)&amp;"")</f>
        <v>JAPAN</v>
      </c>
      <c r="F82" s="182" t="str">
        <f ca="1">IF(ISERROR($V82),"",OFFSET('Smelter Look-up'!$E$4,$V82-4,0))</f>
        <v>CID001259</v>
      </c>
      <c r="G82" s="182" t="str">
        <f ca="1">IF(C82=$X$4,IF(ISERROR($V82),"Enter smelter details","RMI"),IF(ISERROR($V82),"",OFFSET('Smelter Look-up'!$F$4,$V82-4,0)))</f>
        <v>RMI</v>
      </c>
      <c r="H82" s="183">
        <f ca="1">IF(ISERROR($V82),"",OFFSET('Smelter Look-up'!$G$4,$V82-4,0))</f>
        <v>0</v>
      </c>
      <c r="I82" s="184" t="str">
        <f ca="1">IF(ISERROR($V82),"",OFFSET('Smelter Look-up'!$H$4,$V82-4,0))</f>
        <v>Noda</v>
      </c>
      <c r="J82" s="184" t="str">
        <f ca="1">IF(ISERROR($V82),"",OFFSET('Smelter Look-up'!$I$4,$V82-4,0))</f>
        <v>Chiba</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 ca="1">IF(C82="",NA(),IF(OR(C82="Smelter not listed",C82="Smelter not yet identified"),MATCH($B82&amp;$D82,'Smelter Look-up'!$J:$J,0),MATCH($B82&amp;$C82,'Smelter Look-up'!$J:$J,0)))</f>
        <v>201</v>
      </c>
      <c r="X82" s="227">
        <f t="shared" ca="1" si="12"/>
        <v>0</v>
      </c>
      <c r="AB82" s="228" t="str">
        <f t="shared" ca="1" si="13"/>
        <v>GoldNihon Material Co., Ltd.</v>
      </c>
    </row>
    <row r="83" spans="1:28" s="227" customFormat="1" ht="20.399999999999999">
      <c r="A83" s="181" t="s">
        <v>738</v>
      </c>
      <c r="B83" s="182" t="str">
        <f ca="1">IF(LEN(A83)=0,"",INDEX('Smelter Look-up'!$A:$A,MATCH($A83,'Smelter Look-up'!$E:$E,0)))</f>
        <v>Tantalum</v>
      </c>
      <c r="C83" s="186" t="str">
        <f ca="1">IF(LEN(A83)=0,"",INDEX('Smelter Look-up'!$C:$C,MATCH($A83,'Smelter Look-up'!$E:$E,0)))</f>
        <v>Ningxia Orient Tantalum Industry Co., Ltd.</v>
      </c>
      <c r="D83" s="230"/>
      <c r="E83" s="182" t="str">
        <f ca="1">IF(ISERROR($V83),"",OFFSET('Smelter Look-up'!$D$4,$V83-4,0)&amp;"")</f>
        <v>CHINA</v>
      </c>
      <c r="F83" s="182" t="str">
        <f ca="1">IF(ISERROR($V83),"",OFFSET('Smelter Look-up'!$E$4,$V83-4,0))</f>
        <v>CID001277</v>
      </c>
      <c r="G83" s="182" t="str">
        <f ca="1">IF(C83=$X$4,IF(ISERROR($V83),"Enter smelter details","RMI"),IF(ISERROR($V83),"",OFFSET('Smelter Look-up'!$F$4,$V83-4,0)))</f>
        <v>RMI</v>
      </c>
      <c r="H83" s="183">
        <f ca="1">IF(ISERROR($V83),"",OFFSET('Smelter Look-up'!$G$4,$V83-4,0))</f>
        <v>0</v>
      </c>
      <c r="I83" s="184" t="str">
        <f ca="1">IF(ISERROR($V83),"",OFFSET('Smelter Look-up'!$H$4,$V83-4,0))</f>
        <v>Shizuishan City</v>
      </c>
      <c r="J83" s="184" t="str">
        <f ca="1">IF(ISERROR($V83),"",OFFSET('Smelter Look-up'!$I$4,$V83-4,0))</f>
        <v>Ningxia Huizi Zizhiqu</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 ca="1">IF(C83="",NA(),IF(OR(C83="Smelter not listed",C83="Smelter not yet identified"),MATCH($B83&amp;$D83,'Smelter Look-up'!$J:$J,0),MATCH($B83&amp;$C83,'Smelter Look-up'!$J:$J,0)))</f>
        <v>370</v>
      </c>
      <c r="X83" s="227">
        <f t="shared" ca="1" si="12"/>
        <v>0</v>
      </c>
      <c r="AB83" s="228" t="str">
        <f t="shared" ca="1" si="13"/>
        <v>TantalumNingxia Orient Tantalum Industry Co., Ltd.</v>
      </c>
    </row>
    <row r="84" spans="1:28" s="227" customFormat="1" ht="20.399999999999999">
      <c r="A84" s="181" t="s">
        <v>757</v>
      </c>
      <c r="B84" s="182" t="str">
        <f ca="1">IF(LEN(A84)=0,"",INDEX('Smelter Look-up'!$A:$A,MATCH($A84,'Smelter Look-up'!$E:$E,0)))</f>
        <v>Tin</v>
      </c>
      <c r="C84" s="186" t="str">
        <f ca="1">IF(LEN(A84)=0,"",INDEX('Smelter Look-up'!$C:$C,MATCH($A84,'Smelter Look-up'!$E:$E,0)))</f>
        <v>O.M. Manufacturing (Thailand) Co., Ltd.</v>
      </c>
      <c r="D84" s="230"/>
      <c r="E84" s="182" t="str">
        <f ca="1">IF(ISERROR($V84),"",OFFSET('Smelter Look-up'!$D$4,$V84-4,0)&amp;"")</f>
        <v>THAILAND</v>
      </c>
      <c r="F84" s="182" t="str">
        <f ca="1">IF(ISERROR($V84),"",OFFSET('Smelter Look-up'!$E$4,$V84-4,0))</f>
        <v>CID001314</v>
      </c>
      <c r="G84" s="182" t="str">
        <f ca="1">IF(C84=$X$4,IF(ISERROR($V84),"Enter smelter details","RMI"),IF(ISERROR($V84),"",OFFSET('Smelter Look-up'!$F$4,$V84-4,0)))</f>
        <v>RMI</v>
      </c>
      <c r="H84" s="183">
        <f ca="1">IF(ISERROR($V84),"",OFFSET('Smelter Look-up'!$G$4,$V84-4,0))</f>
        <v>0</v>
      </c>
      <c r="I84" s="184" t="str">
        <f ca="1">IF(ISERROR($V84),"",OFFSET('Smelter Look-up'!$H$4,$V84-4,0))</f>
        <v>Nongkham Sriracha</v>
      </c>
      <c r="J84" s="184" t="str">
        <f ca="1">IF(ISERROR($V84),"",OFFSET('Smelter Look-up'!$I$4,$V84-4,0))</f>
        <v>Chon Buri</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 ca="1">IF(C84="",NA(),IF(OR(C84="Smelter not listed",C84="Smelter not yet identified"),MATCH($B84&amp;$D84,'Smelter Look-up'!$J:$J,0),MATCH($B84&amp;$C84,'Smelter Look-up'!$J:$J,0)))</f>
        <v>490</v>
      </c>
      <c r="X84" s="227">
        <f t="shared" ca="1" si="12"/>
        <v>0</v>
      </c>
      <c r="AB84" s="228" t="str">
        <f t="shared" ca="1" si="13"/>
        <v>TinO.M. Manufacturing (Thailand) Co., Ltd.</v>
      </c>
    </row>
    <row r="85" spans="1:28" s="227" customFormat="1" ht="20.399999999999999">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ca="1" si="12"/>
        <v>0</v>
      </c>
      <c r="AB85" s="228" t="str">
        <f t="shared" ca="1" si="13"/>
        <v>GoldOhura Precious Metal Industry Co., Ltd.</v>
      </c>
    </row>
    <row r="86" spans="1:28" s="227" customFormat="1" ht="20.399999999999999">
      <c r="A86" s="181" t="s">
        <v>758</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 ca="1">IF(C86="",NA(),IF(OR(C86="Smelter not listed",C86="Smelter not yet identified"),MATCH($B86&amp;$D86,'Smelter Look-up'!$J:$J,0),MATCH($B86&amp;$C86,'Smelter Look-up'!$J:$J,0)))</f>
        <v>493</v>
      </c>
      <c r="X86" s="227">
        <f t="shared" ca="1" si="12"/>
        <v>0</v>
      </c>
      <c r="AB86" s="228" t="str">
        <f t="shared" ca="1" si="13"/>
        <v>TinOperaciones Metalurgicas S.A.</v>
      </c>
    </row>
    <row r="87" spans="1:28" s="227" customFormat="1" ht="20.399999999999999">
      <c r="A87" s="181" t="s">
        <v>699</v>
      </c>
      <c r="B87" s="182" t="str">
        <f ca="1">IF(LEN(A87)=0,"",INDEX('Smelter Look-up'!$A:$A,MATCH($A87,'Smelter Look-up'!$E:$E,0)))</f>
        <v>Gold</v>
      </c>
      <c r="C87" s="186" t="str">
        <f ca="1">IF(LEN(A87)=0,"",INDEX('Smelter Look-up'!$C:$C,MATCH($A87,'Smelter Look-up'!$E:$E,0)))</f>
        <v>MKS PAMP SA</v>
      </c>
      <c r="D87" s="230"/>
      <c r="E87" s="182" t="str">
        <f ca="1">IF(ISERROR($V87),"",OFFSET('Smelter Look-up'!$D$4,$V87-4,0)&amp;"")</f>
        <v>SWITZERLAND</v>
      </c>
      <c r="F87" s="182" t="str">
        <f ca="1">IF(ISERROR($V87),"",OFFSET('Smelter Look-up'!$E$4,$V87-4,0))</f>
        <v>CID001352</v>
      </c>
      <c r="G87" s="182" t="str">
        <f ca="1">IF(C87=$X$4,IF(ISERROR($V87),"Enter smelter details","RMI"),IF(ISERROR($V87),"",OFFSET('Smelter Look-up'!$F$4,$V87-4,0)))</f>
        <v>RMI</v>
      </c>
      <c r="H87" s="183">
        <f ca="1">IF(ISERROR($V87),"",OFFSET('Smelter Look-up'!$G$4,$V87-4,0))</f>
        <v>0</v>
      </c>
      <c r="I87" s="184" t="str">
        <f ca="1">IF(ISERROR($V87),"",OFFSET('Smelter Look-up'!$H$4,$V87-4,0))</f>
        <v>Geneva</v>
      </c>
      <c r="J87" s="184" t="str">
        <f ca="1">IF(ISERROR($V87),"",OFFSET('Smelter Look-up'!$I$4,$V87-4,0))</f>
        <v>Genève</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 ca="1">IF(C87="",NA(),IF(OR(C87="Smelter not listed",C87="Smelter not yet identified"),MATCH($B87&amp;$D87,'Smelter Look-up'!$J:$J,0),MATCH($B87&amp;$C87,'Smelter Look-up'!$J:$J,0)))</f>
        <v>192</v>
      </c>
      <c r="X87" s="227">
        <f t="shared" ca="1" si="12"/>
        <v>0</v>
      </c>
      <c r="AB87" s="228" t="str">
        <f t="shared" ca="1" si="13"/>
        <v>GoldMKS PAMP SA</v>
      </c>
    </row>
    <row r="88" spans="1:28" s="227" customFormat="1" ht="20.399999999999999">
      <c r="A88" s="181" t="s">
        <v>702</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 ca="1">IF(C88="",NA(),IF(OR(C88="Smelter not listed",C88="Smelter not yet identified"),MATCH($B88&amp;$D88,'Smelter Look-up'!$J:$J,0),MATCH($B88&amp;$C88,'Smelter Look-up'!$J:$J,0)))</f>
        <v>220</v>
      </c>
      <c r="X88" s="227">
        <f t="shared" ca="1" si="12"/>
        <v>0</v>
      </c>
      <c r="AB88" s="228" t="str">
        <f t="shared" ca="1" si="13"/>
        <v>GoldPT Aneka Tambang (Persero) Tbk</v>
      </c>
    </row>
    <row r="89" spans="1:28" s="227" customFormat="1" ht="20.399999999999999">
      <c r="A89" s="181" t="s">
        <v>759</v>
      </c>
      <c r="B89" s="182" t="str">
        <f ca="1">IF(LEN(A89)=0,"",INDEX('Smelter Look-up'!$A:$A,MATCH($A89,'Smelter Look-up'!$E:$E,0)))</f>
        <v>Tin</v>
      </c>
      <c r="C89" s="186" t="str">
        <f ca="1">IF(LEN(A89)=0,"",INDEX('Smelter Look-up'!$C:$C,MATCH($A89,'Smelter Look-up'!$E:$E,0)))</f>
        <v>PT Mitra Stania Prima</v>
      </c>
      <c r="D89" s="230"/>
      <c r="E89" s="182" t="str">
        <f ca="1">IF(ISERROR($V89),"",OFFSET('Smelter Look-up'!$D$4,$V89-4,0)&amp;"")</f>
        <v>INDONESIA</v>
      </c>
      <c r="F89" s="182" t="str">
        <f ca="1">IF(ISERROR($V89),"",OFFSET('Smelter Look-up'!$E$4,$V89-4,0))</f>
        <v>CID001453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502</v>
      </c>
      <c r="X89" s="227">
        <f t="shared" ca="1" si="12"/>
        <v>0</v>
      </c>
      <c r="AB89" s="228" t="str">
        <f t="shared" ca="1" si="13"/>
        <v>TinPT Mitra Stania Prima</v>
      </c>
    </row>
    <row r="90" spans="1:28" s="227" customFormat="1" ht="20.399999999999999">
      <c r="A90" s="181" t="s">
        <v>15714</v>
      </c>
      <c r="B90" s="182" t="str">
        <f ca="1">IF(LEN(A90)=0,"",INDEX('Smelter Look-up'!$A:$A,MATCH($A90,'Smelter Look-up'!$E:$E,0)))</f>
        <v>Tin</v>
      </c>
      <c r="C90" s="186" t="str">
        <f ca="1">IF(LEN(A90)=0,"",INDEX('Smelter Look-up'!$C:$C,MATCH($A90,'Smelter Look-up'!$E:$E,0)))</f>
        <v>PT Prima Timah Utama</v>
      </c>
      <c r="D90" s="230"/>
      <c r="E90" s="182" t="str">
        <f ca="1">IF(ISERROR($V90),"",OFFSET('Smelter Look-up'!$D$4,$V90-4,0)&amp;"")</f>
        <v>INDONESIA</v>
      </c>
      <c r="F90" s="182" t="str">
        <f ca="1">IF(ISERROR($V90),"",OFFSET('Smelter Look-up'!$E$4,$V90-4,0))</f>
        <v>CID001458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505</v>
      </c>
      <c r="X90" s="227">
        <f t="shared" ca="1" si="12"/>
        <v>0</v>
      </c>
      <c r="AB90" s="228" t="str">
        <f t="shared" ca="1" si="13"/>
        <v>TinPT Prima Timah Utama</v>
      </c>
    </row>
    <row r="91" spans="1:28" s="227" customFormat="1" ht="20.399999999999999">
      <c r="A91" s="181" t="s">
        <v>777</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 ca="1">IF(C91="",NA(),IF(OR(C91="Smelter not listed",C91="Smelter not yet identified"),MATCH($B91&amp;$D91,'Smelter Look-up'!$J:$J,0),MATCH($B91&amp;$C91,'Smelter Look-up'!$J:$J,0)))</f>
        <v>509</v>
      </c>
      <c r="X91" s="227">
        <f t="shared" ca="1" si="12"/>
        <v>0</v>
      </c>
      <c r="AB91" s="228" t="str">
        <f t="shared" ca="1" si="13"/>
        <v>TinPT Timah Tbk Kundur</v>
      </c>
    </row>
    <row r="92" spans="1:28" s="227" customFormat="1" ht="20.399999999999999">
      <c r="A92" s="181" t="s">
        <v>760</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510</v>
      </c>
      <c r="X92" s="227">
        <f t="shared" ca="1" si="12"/>
        <v>0</v>
      </c>
      <c r="AB92" s="228" t="str">
        <f t="shared" ca="1" si="13"/>
        <v>TinPT Timah Tbk Mentok</v>
      </c>
    </row>
    <row r="93" spans="1:28" s="227" customFormat="1" ht="20.399999999999999">
      <c r="A93" s="181" t="s">
        <v>703</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1"/>
        <v>CH</v>
      </c>
      <c r="T93" s="181" t="str">
        <f ca="1">IF(B93="","",IF(ISERROR(MATCH($J93,SorP!$B$1:$B$6226,0)),"",INDIRECT("'SorP'!$A$"&amp;MATCH($S93&amp;$J93,SorP!C:C,0))))</f>
        <v>CH-NE</v>
      </c>
      <c r="U93" s="201"/>
      <c r="V93" s="226">
        <f ca="1">IF(C93="",NA(),IF(OR(C93="Smelter not listed",C93="Smelter not yet identified"),MATCH($B93&amp;$D93,'Smelter Look-up'!$J:$J,0),MATCH($B93&amp;$C93,'Smelter Look-up'!$J:$J,0)))</f>
        <v>221</v>
      </c>
      <c r="X93" s="227">
        <f t="shared" ca="1" si="12"/>
        <v>0</v>
      </c>
      <c r="AB93" s="228" t="str">
        <f t="shared" ca="1" si="13"/>
        <v>GoldPX Precinox S.A.</v>
      </c>
    </row>
    <row r="94" spans="1:28" s="227" customFormat="1" ht="20.399999999999999">
      <c r="A94" s="181" t="s">
        <v>704</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224</v>
      </c>
      <c r="X94" s="227">
        <f t="shared" ca="1" si="12"/>
        <v>0</v>
      </c>
      <c r="AB94" s="228" t="str">
        <f t="shared" ca="1" si="13"/>
        <v>GoldRand Refinery (Pty) Ltd.</v>
      </c>
    </row>
    <row r="95" spans="1:28" s="227" customFormat="1" ht="20.399999999999999">
      <c r="A95" s="181" t="s">
        <v>739</v>
      </c>
      <c r="B95" s="182" t="str">
        <f ca="1">IF(LEN(A95)=0,"",INDEX('Smelter Look-up'!$A:$A,MATCH($A95,'Smelter Look-up'!$E:$E,0)))</f>
        <v>Tantalum</v>
      </c>
      <c r="C95" s="186" t="str">
        <f ca="1">IF(LEN(A95)=0,"",INDEX('Smelter Look-up'!$C:$C,MATCH($A95,'Smelter Look-up'!$E:$E,0)))</f>
        <v>Yanling Jincheng Tantalum &amp; Niobium Co., Ltd.</v>
      </c>
      <c r="D95" s="230"/>
      <c r="E95" s="182" t="str">
        <f ca="1">IF(ISERROR($V95),"",OFFSET('Smelter Look-up'!$D$4,$V95-4,0)&amp;"")</f>
        <v>CHINA</v>
      </c>
      <c r="F95" s="182" t="str">
        <f ca="1">IF(ISERROR($V95),"",OFFSET('Smelter Look-up'!$E$4,$V95-4,0))</f>
        <v>CID001522</v>
      </c>
      <c r="G95" s="182" t="str">
        <f ca="1">IF(C95=$X$4,IF(ISERROR($V95),"Enter smelter details","RMI"),IF(ISERROR($V95),"",OFFSET('Smelter Look-up'!$F$4,$V95-4,0)))</f>
        <v>RMI</v>
      </c>
      <c r="H95" s="183">
        <f ca="1">IF(ISERROR($V95),"",OFFSET('Smelter Look-up'!$G$4,$V95-4,0))</f>
        <v>0</v>
      </c>
      <c r="I95" s="184" t="str">
        <f ca="1">IF(ISERROR($V95),"",OFFSET('Smelter Look-up'!$H$4,$V95-4,0))</f>
        <v>Zhuzhou</v>
      </c>
      <c r="J95" s="184" t="str">
        <f ca="1">IF(ISERROR($V95),"",OFFSET('Smelter Look-up'!$I$4,$V95-4,0))</f>
        <v>Hunan Sheng</v>
      </c>
      <c r="K95" s="224"/>
      <c r="L95" s="224"/>
      <c r="M95" s="224"/>
      <c r="N95" s="224"/>
      <c r="O95" s="224"/>
      <c r="P95" s="185"/>
      <c r="Q95" s="225"/>
      <c r="R95" s="182" t="str">
        <f ca="1">IF(ISERROR($V95),"",OFFSET('Smelter Look-up'!$C$4,$V95-4,0)&amp;"")</f>
        <v>Yanling Jincheng Tantalum &amp; Niobium Co., Ltd.</v>
      </c>
      <c r="S95" s="181" t="str">
        <f t="shared" ca="1" si="11"/>
        <v>CN</v>
      </c>
      <c r="T95" s="181" t="str">
        <f ca="1">IF(B95="","",IF(ISERROR(MATCH($J95,SorP!$B$1:$B$6226,0)),"",INDIRECT("'SorP'!$A$"&amp;MATCH($S95&amp;$J95,SorP!C:C,0))))</f>
        <v>CN-HN</v>
      </c>
      <c r="U95" s="201"/>
      <c r="V95" s="226">
        <f ca="1">IF(C95="",NA(),IF(OR(C95="Smelter not listed",C95="Smelter not yet identified"),MATCH($B95&amp;$D95,'Smelter Look-up'!$J:$J,0),MATCH($B95&amp;$C95,'Smelter Look-up'!$J:$J,0)))</f>
        <v>393</v>
      </c>
      <c r="X95" s="227">
        <f t="shared" ca="1" si="12"/>
        <v>0</v>
      </c>
      <c r="AB95" s="228" t="str">
        <f t="shared" ca="1" si="13"/>
        <v>TantalumYanling Jincheng Tantalum &amp; Niobium Co., Ltd.</v>
      </c>
    </row>
    <row r="96" spans="1:28" s="227" customFormat="1" ht="20.399999999999999">
      <c r="A96" s="181" t="s">
        <v>705</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1"/>
        <v>CA</v>
      </c>
      <c r="T96" s="181" t="str">
        <f ca="1">IF(B96="","",IF(ISERROR(MATCH($J96,SorP!$B$1:$B$6226,0)),"",INDIRECT("'SorP'!$A$"&amp;MATCH($S96&amp;$J96,SorP!C:C,0))))</f>
        <v>CA-ON</v>
      </c>
      <c r="U96" s="201"/>
      <c r="V96" s="226">
        <f ca="1">IF(C96="",NA(),IF(OR(C96="Smelter not listed",C96="Smelter not yet identified"),MATCH($B96&amp;$D96,'Smelter Look-up'!$J:$J,0),MATCH($B96&amp;$C96,'Smelter Look-up'!$J:$J,0)))</f>
        <v>229</v>
      </c>
      <c r="X96" s="227">
        <f t="shared" ca="1" si="12"/>
        <v>0</v>
      </c>
      <c r="AB96" s="228" t="str">
        <f t="shared" ca="1" si="13"/>
        <v>GoldRoyal Canadian Mint</v>
      </c>
    </row>
    <row r="97" spans="1:28" s="227" customFormat="1" ht="20.399999999999999">
      <c r="A97" s="181" t="s">
        <v>762</v>
      </c>
      <c r="B97" s="182" t="str">
        <f ca="1">IF(LEN(A97)=0,"",INDEX('Smelter Look-up'!$A:$A,MATCH($A97,'Smelter Look-up'!$E:$E,0)))</f>
        <v>Tin</v>
      </c>
      <c r="C97" s="186" t="str">
        <f ca="1">IF(LEN(A97)=0,"",INDEX('Smelter Look-up'!$C:$C,MATCH($A97,'Smelter Look-up'!$E:$E,0)))</f>
        <v>Rui Da Hung</v>
      </c>
      <c r="D97" s="230"/>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2"/>
        <v>0</v>
      </c>
      <c r="AB97" s="228" t="str">
        <f t="shared" ca="1" si="13"/>
        <v>TinRui Da Hung</v>
      </c>
    </row>
    <row r="98" spans="1:28" s="227" customFormat="1" ht="20.399999999999999">
      <c r="A98" s="181" t="s">
        <v>708</v>
      </c>
      <c r="B98" s="182" t="str">
        <f ca="1">IF(LEN(A98)=0,"",INDEX('Smelter Look-up'!$A:$A,MATCH($A98,'Smelter Look-up'!$E:$E,0)))</f>
        <v>Gold</v>
      </c>
      <c r="C98" s="186" t="str">
        <f ca="1">IF(LEN(A98)=0,"",INDEX('Smelter Look-up'!$C:$C,MATCH($A98,'Smelter Look-up'!$E:$E,0)))</f>
        <v>SEMPSA Joyeria Plateria S.A.</v>
      </c>
      <c r="D98" s="230"/>
      <c r="E98" s="182" t="str">
        <f ca="1">IF(ISERROR($V98),"",OFFSET('Smelter Look-up'!$D$4,$V98-4,0)&amp;"")</f>
        <v>SPAIN</v>
      </c>
      <c r="F98" s="182" t="str">
        <f ca="1">IF(ISERROR($V98),"",OFFSET('Smelter Look-up'!$E$4,$V98-4,0))</f>
        <v>CID001585</v>
      </c>
      <c r="G98" s="182" t="str">
        <f ca="1">IF(C98=$X$4,IF(ISERROR($V98),"Enter smelter details","RMI"),IF(ISERROR($V98),"",OFFSET('Smelter Look-up'!$F$4,$V98-4,0)))</f>
        <v>RMI</v>
      </c>
      <c r="H98" s="183">
        <f ca="1">IF(ISERROR($V98),"",OFFSET('Smelter Look-up'!$G$4,$V98-4,0))</f>
        <v>0</v>
      </c>
      <c r="I98" s="184" t="str">
        <f ca="1">IF(ISERROR($V98),"",OFFSET('Smelter Look-up'!$H$4,$V98-4,0))</f>
        <v>Madrid</v>
      </c>
      <c r="J98" s="184" t="str">
        <f ca="1">IF(ISERROR($V98),"",OFFSET('Smelter Look-up'!$I$4,$V98-4,0))</f>
        <v>Madrid, Comunidad de</v>
      </c>
      <c r="K98" s="224"/>
      <c r="L98" s="224"/>
      <c r="M98" s="224"/>
      <c r="N98" s="224"/>
      <c r="O98" s="224"/>
      <c r="P98" s="185"/>
      <c r="Q98" s="225"/>
      <c r="R98" s="182" t="str">
        <f ca="1">IF(ISERROR($V98),"",OFFSET('Smelter Look-up'!$C$4,$V98-4,0)&amp;"")</f>
        <v>SEMPSA Joyeria Plateria S.A.</v>
      </c>
      <c r="S98" s="181" t="str">
        <f t="shared" ca="1" si="11"/>
        <v>ES</v>
      </c>
      <c r="T98" s="181" t="str">
        <f ca="1">IF(B98="","",IF(ISERROR(MATCH($J98,SorP!$B$1:$B$6226,0)),"",INDIRECT("'SorP'!$A$"&amp;MATCH($S98&amp;$J98,SorP!C:C,0))))</f>
        <v>ES-MD</v>
      </c>
      <c r="U98" s="201"/>
      <c r="V98" s="226">
        <f ca="1">IF(C98="",NA(),IF(OR(C98="Smelter not listed",C98="Smelter not yet identified"),MATCH($B98&amp;$D98,'Smelter Look-up'!$J:$J,0),MATCH($B98&amp;$C98,'Smelter Look-up'!$J:$J,0)))</f>
        <v>242</v>
      </c>
      <c r="X98" s="227">
        <f t="shared" ca="1" si="12"/>
        <v>0</v>
      </c>
      <c r="AB98" s="228" t="str">
        <f t="shared" ca="1" si="13"/>
        <v>GoldSEMPSA Joyeria Plateria S.A.</v>
      </c>
    </row>
    <row r="99" spans="1:28" s="227" customFormat="1" ht="20.399999999999999">
      <c r="A99" s="181" t="s">
        <v>709</v>
      </c>
      <c r="B99" s="182" t="str">
        <f ca="1">IF(LEN(A99)=0,"",INDEX('Smelter Look-up'!$A:$A,MATCH($A99,'Smelter Look-up'!$E:$E,0)))</f>
        <v>Gold</v>
      </c>
      <c r="C99" s="186" t="str">
        <f ca="1">IF(LEN(A99)=0,"",INDEX('Smelter Look-up'!$C:$C,MATCH($A99,'Smelter Look-up'!$E:$E,0)))</f>
        <v>Shandong Zhaojin Gold &amp; Silver Refinery Co., Ltd.</v>
      </c>
      <c r="D99" s="230"/>
      <c r="E99" s="182" t="str">
        <f ca="1">IF(ISERROR($V99),"",OFFSET('Smelter Look-up'!$D$4,$V99-4,0)&amp;"")</f>
        <v>CHINA</v>
      </c>
      <c r="F99" s="182" t="str">
        <f ca="1">IF(ISERROR($V99),"",OFFSET('Smelter Look-up'!$E$4,$V99-4,0))</f>
        <v>CID001622</v>
      </c>
      <c r="G99" s="182" t="str">
        <f ca="1">IF(C99=$X$4,IF(ISERROR($V99),"Enter smelter details","RMI"),IF(ISERROR($V99),"",OFFSET('Smelter Look-up'!$F$4,$V99-4,0)))</f>
        <v>RMI</v>
      </c>
      <c r="H99" s="183">
        <f ca="1">IF(ISERROR($V99),"",OFFSET('Smelter Look-up'!$G$4,$V99-4,0))</f>
        <v>0</v>
      </c>
      <c r="I99" s="184" t="str">
        <f ca="1">IF(ISERROR($V99),"",OFFSET('Smelter Look-up'!$H$4,$V99-4,0))</f>
        <v>Zhaoyuan</v>
      </c>
      <c r="J99" s="184" t="str">
        <f ca="1">IF(ISERROR($V99),"",OFFSET('Smelter Look-up'!$I$4,$V99-4,0))</f>
        <v>Shandong Sheng</v>
      </c>
      <c r="K99" s="224"/>
      <c r="L99" s="224"/>
      <c r="M99" s="224"/>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 ca="1">IF(C99="",NA(),IF(OR(C99="Smelter not listed",C99="Smelter not yet identified"),MATCH($B99&amp;$D99,'Smelter Look-up'!$J:$J,0),MATCH($B99&amp;$C99,'Smelter Look-up'!$J:$J,0)))</f>
        <v>254</v>
      </c>
      <c r="X99" s="227">
        <f t="shared" ca="1" si="12"/>
        <v>0</v>
      </c>
      <c r="AB99" s="228" t="str">
        <f t="shared" ca="1" si="13"/>
        <v>GoldShandong Zhaojin Gold &amp; Silver Refinery Co., Ltd.</v>
      </c>
    </row>
    <row r="100" spans="1:28" s="227" customFormat="1" ht="20.399999999999999">
      <c r="A100" s="181" t="s">
        <v>1357</v>
      </c>
      <c r="B100" s="182" t="str">
        <f ca="1">IF(LEN(A100)=0,"",INDEX('Smelter Look-up'!$A:$A,MATCH($A100,'Smelter Look-up'!$E:$E,0)))</f>
        <v>Gold</v>
      </c>
      <c r="C100" s="186" t="str">
        <f ca="1">IF(LEN(A100)=0,"",INDEX('Smelter Look-up'!$C:$C,MATCH($A100,'Smelter Look-up'!$E:$E,0)))</f>
        <v>Sichuan Tianze Precious Metals Co., Ltd.</v>
      </c>
      <c r="D100" s="230"/>
      <c r="E100" s="182" t="str">
        <f ca="1">IF(ISERROR($V100),"",OFFSET('Smelter Look-up'!$D$4,$V100-4,0)&amp;"")</f>
        <v>CHINA</v>
      </c>
      <c r="F100" s="182" t="str">
        <f ca="1">IF(ISERROR($V100),"",OFFSET('Smelter Look-up'!$E$4,$V100-4,0))</f>
        <v>CID001736</v>
      </c>
      <c r="G100" s="182" t="str">
        <f ca="1">IF(C100=$X$4,IF(ISERROR($V100),"Enter smelter details","RMI"),IF(ISERROR($V100),"",OFFSET('Smelter Look-up'!$F$4,$V100-4,0)))</f>
        <v>RMI</v>
      </c>
      <c r="H100" s="183">
        <f ca="1">IF(ISERROR($V100),"",OFFSET('Smelter Look-up'!$G$4,$V100-4,0))</f>
        <v>0</v>
      </c>
      <c r="I100" s="184" t="str">
        <f ca="1">IF(ISERROR($V100),"",OFFSET('Smelter Look-up'!$H$4,$V100-4,0))</f>
        <v>Chengdu</v>
      </c>
      <c r="J100" s="184" t="str">
        <f ca="1">IF(ISERROR($V100),"",OFFSET('Smelter Look-up'!$I$4,$V100-4,0))</f>
        <v>Sichuan Sheng</v>
      </c>
      <c r="K100" s="224"/>
      <c r="L100" s="224"/>
      <c r="M100" s="224"/>
      <c r="N100" s="224"/>
      <c r="O100" s="224"/>
      <c r="P100" s="185"/>
      <c r="Q100" s="225"/>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 ca="1">IF(C100="",NA(),IF(OR(C100="Smelter not listed",C100="Smelter not yet identified"),MATCH($B100&amp;$D100,'Smelter Look-up'!$J:$J,0),MATCH($B100&amp;$C100,'Smelter Look-up'!$J:$J,0)))</f>
        <v>262</v>
      </c>
      <c r="X100" s="227">
        <f t="shared" ca="1" si="12"/>
        <v>0</v>
      </c>
      <c r="AB100" s="228" t="str">
        <f t="shared" ca="1" si="13"/>
        <v>GoldSichuan Tianze Precious Metals Co., Ltd.</v>
      </c>
    </row>
    <row r="101" spans="1:28" s="227" customFormat="1" ht="20.399999999999999">
      <c r="A101" s="181" t="s">
        <v>711</v>
      </c>
      <c r="B101" s="182" t="str">
        <f ca="1">IF(LEN(A101)=0,"",INDEX('Smelter Look-up'!$A:$A,MATCH($A101,'Smelter Look-up'!$E:$E,0)))</f>
        <v>Gold</v>
      </c>
      <c r="C101" s="186" t="str">
        <f ca="1">IF(LEN(A101)=0,"",INDEX('Smelter Look-up'!$C:$C,MATCH($A101,'Smelter Look-up'!$E:$E,0)))</f>
        <v>Solar Applied Materials Technology Corp.</v>
      </c>
      <c r="D101" s="230"/>
      <c r="E101" s="182" t="str">
        <f ca="1">IF(ISERROR($V101),"",OFFSET('Smelter Look-up'!$D$4,$V101-4,0)&amp;"")</f>
        <v>TAIWAN, PROVINCE OF CHINA</v>
      </c>
      <c r="F101" s="182" t="str">
        <f ca="1">IF(ISERROR($V101),"",OFFSET('Smelter Look-up'!$E$4,$V101-4,0))</f>
        <v>CID001761</v>
      </c>
      <c r="G101" s="182" t="str">
        <f ca="1">IF(C101=$X$4,IF(ISERROR($V101),"Enter smelter details","RMI"),IF(ISERROR($V101),"",OFFSET('Smelter Look-up'!$F$4,$V101-4,0)))</f>
        <v>RMI</v>
      </c>
      <c r="H101" s="183">
        <f ca="1">IF(ISERROR($V101),"",OFFSET('Smelter Look-up'!$G$4,$V101-4,0))</f>
        <v>0</v>
      </c>
      <c r="I101" s="184" t="str">
        <f ca="1">IF(ISERROR($V101),"",OFFSET('Smelter Look-up'!$H$4,$V101-4,0))</f>
        <v>Tainan City</v>
      </c>
      <c r="J101" s="184" t="str">
        <f ca="1">IF(ISERROR($V101),"",OFFSET('Smelter Look-up'!$I$4,$V101-4,0))</f>
        <v>Tainan</v>
      </c>
      <c r="K101" s="224"/>
      <c r="L101" s="224"/>
      <c r="M101" s="224"/>
      <c r="N101" s="224"/>
      <c r="O101" s="224"/>
      <c r="P101" s="185"/>
      <c r="Q101" s="225"/>
      <c r="R101" s="182" t="str">
        <f ca="1">IF(ISERROR($V101),"",OFFSET('Smelter Look-up'!$C$4,$V101-4,0)&amp;"")</f>
        <v>Solar Applied Materials Technology Corp.</v>
      </c>
      <c r="S101" s="181" t="str">
        <f t="shared" ca="1" si="11"/>
        <v>TW</v>
      </c>
      <c r="T101" s="181" t="str">
        <f ca="1">IF(B101="","",IF(ISERROR(MATCH($J101,SorP!$B$1:$B$6226,0)),"",INDIRECT("'SorP'!$A$"&amp;MATCH($S101&amp;$J101,SorP!C:C,0))))</f>
        <v>TW-TNN</v>
      </c>
      <c r="U101" s="201"/>
      <c r="V101" s="226">
        <f ca="1">IF(C101="",NA(),IF(OR(C101="Smelter not listed",C101="Smelter not yet identified"),MATCH($B101&amp;$D101,'Smelter Look-up'!$J:$J,0),MATCH($B101&amp;$C101,'Smelter Look-up'!$J:$J,0)))</f>
        <v>267</v>
      </c>
      <c r="X101" s="227">
        <f t="shared" ca="1" si="12"/>
        <v>0</v>
      </c>
      <c r="AB101" s="228" t="str">
        <f t="shared" ca="1" si="13"/>
        <v>GoldSolar Applied Materials Technology Corp.</v>
      </c>
    </row>
    <row r="102" spans="1:28" s="227" customFormat="1" ht="20.399999999999999">
      <c r="A102" s="181" t="s">
        <v>712</v>
      </c>
      <c r="B102" s="182" t="str">
        <f ca="1">IF(LEN(A102)=0,"",INDEX('Smelter Look-up'!$A:$A,MATCH($A102,'Smelter Look-up'!$E:$E,0)))</f>
        <v>Gold</v>
      </c>
      <c r="C102" s="186" t="str">
        <f ca="1">IF(LEN(A102)=0,"",INDEX('Smelter Look-up'!$C:$C,MATCH($A102,'Smelter Look-up'!$E:$E,0)))</f>
        <v>Sumitomo Metal Mining Co., Ltd.</v>
      </c>
      <c r="D102" s="230"/>
      <c r="E102" s="182" t="str">
        <f ca="1">IF(ISERROR($V102),"",OFFSET('Smelter Look-up'!$D$4,$V102-4,0)&amp;"")</f>
        <v>JAPAN</v>
      </c>
      <c r="F102" s="182" t="str">
        <f ca="1">IF(ISERROR($V102),"",OFFSET('Smelter Look-up'!$E$4,$V102-4,0))</f>
        <v>CID001798</v>
      </c>
      <c r="G102" s="182" t="str">
        <f ca="1">IF(C102=$X$4,IF(ISERROR($V102),"Enter smelter details","RMI"),IF(ISERROR($V102),"",OFFSET('Smelter Look-up'!$F$4,$V102-4,0)))</f>
        <v>RMI</v>
      </c>
      <c r="H102" s="183">
        <f ca="1">IF(ISERROR($V102),"",OFFSET('Smelter Look-up'!$G$4,$V102-4,0))</f>
        <v>0</v>
      </c>
      <c r="I102" s="184" t="str">
        <f ca="1">IF(ISERROR($V102),"",OFFSET('Smelter Look-up'!$H$4,$V102-4,0))</f>
        <v>Saijo</v>
      </c>
      <c r="J102" s="184" t="str">
        <f ca="1">IF(ISERROR($V102),"",OFFSET('Smelter Look-up'!$I$4,$V102-4,0))</f>
        <v>Ehime</v>
      </c>
      <c r="K102" s="224"/>
      <c r="L102" s="224"/>
      <c r="M102" s="224"/>
      <c r="N102" s="224"/>
      <c r="O102" s="224"/>
      <c r="P102" s="185"/>
      <c r="Q102" s="225"/>
      <c r="R102" s="182" t="str">
        <f ca="1">IF(ISERROR($V102),"",OFFSET('Smelter Look-up'!$C$4,$V102-4,0)&amp;"")</f>
        <v>Sumitomo Metal Mining Co., Ltd.</v>
      </c>
      <c r="S102" s="181" t="str">
        <f t="shared" ref="S102:S132" ca="1" si="14">IF(B102="","",IF(ISERROR(MATCH($E102,CL,0)),"Unknown",INDIRECT("'C'!$A$"&amp;MATCH($E102,CL,0)+1)))</f>
        <v>JP</v>
      </c>
      <c r="T102" s="181" t="str">
        <f ca="1">IF(B102="","",IF(ISERROR(MATCH($J102,SorP!$B$1:$B$6226,0)),"",INDIRECT("'SorP'!$A$"&amp;MATCH($S102&amp;$J102,SorP!C:C,0))))</f>
        <v>JP-38</v>
      </c>
      <c r="U102" s="201"/>
      <c r="V102" s="226">
        <f ca="1">IF(C102="",NA(),IF(OR(C102="Smelter not listed",C102="Smelter not yet identified"),MATCH($B102&amp;$D102,'Smelter Look-up'!$J:$J,0),MATCH($B102&amp;$C102,'Smelter Look-up'!$J:$J,0)))</f>
        <v>274</v>
      </c>
      <c r="X102" s="227">
        <f t="shared" ref="X102:X132" ca="1" si="15">IF(AND(C102="Smelter not listed",OR(LEN(D102)=0,LEN(E102)=0)),1,0)</f>
        <v>0</v>
      </c>
      <c r="AB102" s="228" t="str">
        <f t="shared" ref="AB102:AB132" ca="1" si="16">B102&amp;C102</f>
        <v>GoldSumitomo Metal Mining Co., Ltd.</v>
      </c>
    </row>
    <row r="103" spans="1:28" s="227" customFormat="1" ht="20.399999999999999">
      <c r="A103" s="181" t="s">
        <v>741</v>
      </c>
      <c r="B103" s="182" t="str">
        <f ca="1">IF(LEN(A103)=0,"",INDEX('Smelter Look-up'!$A:$A,MATCH($A103,'Smelter Look-up'!$E:$E,0)))</f>
        <v>Tantalum</v>
      </c>
      <c r="C103" s="186" t="str">
        <f ca="1">IF(LEN(A103)=0,"",INDEX('Smelter Look-up'!$C:$C,MATCH($A103,'Smelter Look-up'!$E:$E,0)))</f>
        <v>Taki Chemical Co., Ltd.</v>
      </c>
      <c r="D103" s="230"/>
      <c r="E103" s="182" t="str">
        <f ca="1">IF(ISERROR($V103),"",OFFSET('Smelter Look-up'!$D$4,$V103-4,0)&amp;"")</f>
        <v>JAPAN</v>
      </c>
      <c r="F103" s="182" t="str">
        <f ca="1">IF(ISERROR($V103),"",OFFSET('Smelter Look-up'!$E$4,$V103-4,0))</f>
        <v>CID001869</v>
      </c>
      <c r="G103" s="182" t="str">
        <f ca="1">IF(C103=$X$4,IF(ISERROR($V103),"Enter smelter details","RMI"),IF(ISERROR($V103),"",OFFSET('Smelter Look-up'!$F$4,$V103-4,0)))</f>
        <v>RMI</v>
      </c>
      <c r="H103" s="183">
        <f ca="1">IF(ISERROR($V103),"",OFFSET('Smelter Look-up'!$G$4,$V103-4,0))</f>
        <v>0</v>
      </c>
      <c r="I103" s="184" t="str">
        <f ca="1">IF(ISERROR($V103),"",OFFSET('Smelter Look-up'!$H$4,$V103-4,0))</f>
        <v>Harima</v>
      </c>
      <c r="J103" s="184" t="str">
        <f ca="1">IF(ISERROR($V103),"",OFFSET('Smelter Look-up'!$I$4,$V103-4,0))</f>
        <v>Hyogo</v>
      </c>
      <c r="K103" s="224"/>
      <c r="L103" s="224"/>
      <c r="M103" s="224"/>
      <c r="N103" s="224"/>
      <c r="O103" s="224"/>
      <c r="P103" s="185"/>
      <c r="Q103" s="225"/>
      <c r="R103" s="182" t="str">
        <f ca="1">IF(ISERROR($V103),"",OFFSET('Smelter Look-up'!$C$4,$V103-4,0)&amp;"")</f>
        <v>Taki Chemical Co., Ltd.</v>
      </c>
      <c r="S103" s="181" t="str">
        <f t="shared" ca="1" si="14"/>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382</v>
      </c>
      <c r="X103" s="227">
        <f t="shared" ca="1" si="15"/>
        <v>0</v>
      </c>
      <c r="AB103" s="228" t="str">
        <f t="shared" ca="1" si="16"/>
        <v>TantalumTaki Chemical Co., Ltd.</v>
      </c>
    </row>
    <row r="104" spans="1:28" s="227" customFormat="1" ht="20.399999999999999">
      <c r="A104" s="181" t="s">
        <v>713</v>
      </c>
      <c r="B104" s="182" t="str">
        <f ca="1">IF(LEN(A104)=0,"",INDEX('Smelter Look-up'!$A:$A,MATCH($A104,'Smelter Look-up'!$E:$E,0)))</f>
        <v>Gold</v>
      </c>
      <c r="C104" s="186" t="str">
        <f ca="1">IF(LEN(A104)=0,"",INDEX('Smelter Look-up'!$C:$C,MATCH($A104,'Smelter Look-up'!$E:$E,0)))</f>
        <v>Tanaka Kikinzoku Kogyo K.K.</v>
      </c>
      <c r="D104" s="230"/>
      <c r="E104" s="182" t="str">
        <f ca="1">IF(ISERROR($V104),"",OFFSET('Smelter Look-up'!$D$4,$V104-4,0)&amp;"")</f>
        <v>JAPAN</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287</v>
      </c>
      <c r="X104" s="227">
        <f t="shared" ca="1" si="15"/>
        <v>0</v>
      </c>
      <c r="AB104" s="228" t="str">
        <f t="shared" ca="1" si="16"/>
        <v>GoldTanaka Kikinzoku Kogyo K.K.</v>
      </c>
    </row>
    <row r="105" spans="1:28" s="227" customFormat="1" ht="20.399999999999999">
      <c r="A105" s="181" t="s">
        <v>742</v>
      </c>
      <c r="B105" s="182" t="str">
        <f ca="1">IF(LEN(A105)=0,"",INDEX('Smelter Look-up'!$A:$A,MATCH($A105,'Smelter Look-up'!$E:$E,0)))</f>
        <v>Tantalum</v>
      </c>
      <c r="C105" s="186" t="str">
        <f ca="1">IF(LEN(A105)=0,"",INDEX('Smelter Look-up'!$C:$C,MATCH($A105,'Smelter Look-up'!$E:$E,0)))</f>
        <v>Telex Metals</v>
      </c>
      <c r="D105" s="230"/>
      <c r="E105" s="182" t="str">
        <f ca="1">IF(ISERROR($V105),"",OFFSET('Smelter Look-up'!$D$4,$V105-4,0)&amp;"")</f>
        <v>UNITED STATES OF AMERICA</v>
      </c>
      <c r="F105" s="182" t="str">
        <f ca="1">IF(ISERROR($V105),"",OFFSET('Smelter Look-up'!$E$4,$V105-4,0))</f>
        <v>CID001891</v>
      </c>
      <c r="G105" s="182" t="str">
        <f ca="1">IF(C105=$X$4,IF(ISERROR($V105),"Enter smelter details","RMI"),IF(ISERROR($V105),"",OFFSET('Smelter Look-up'!$F$4,$V105-4,0)))</f>
        <v>RMI</v>
      </c>
      <c r="H105" s="183">
        <f ca="1">IF(ISERROR($V105),"",OFFSET('Smelter Look-up'!$G$4,$V105-4,0))</f>
        <v>0</v>
      </c>
      <c r="I105" s="184" t="str">
        <f ca="1">IF(ISERROR($V105),"",OFFSET('Smelter Look-up'!$H$4,$V105-4,0))</f>
        <v>Croydon</v>
      </c>
      <c r="J105" s="184" t="str">
        <f ca="1">IF(ISERROR($V105),"",OFFSET('Smelter Look-up'!$I$4,$V105-4,0))</f>
        <v>Pennsylvania</v>
      </c>
      <c r="K105" s="224"/>
      <c r="L105" s="224"/>
      <c r="M105" s="224"/>
      <c r="N105" s="224"/>
      <c r="O105" s="224"/>
      <c r="P105" s="185"/>
      <c r="Q105" s="225"/>
      <c r="R105" s="182" t="str">
        <f ca="1">IF(ISERROR($V105),"",OFFSET('Smelter Look-up'!$C$4,$V105-4,0)&amp;"")</f>
        <v>Telex Metals</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388</v>
      </c>
      <c r="X105" s="227">
        <f t="shared" ca="1" si="15"/>
        <v>0</v>
      </c>
      <c r="AB105" s="228" t="str">
        <f t="shared" ca="1" si="16"/>
        <v>TantalumTelex Metals</v>
      </c>
    </row>
    <row r="106" spans="1:28" s="227" customFormat="1" ht="20.399999999999999">
      <c r="A106" s="181" t="s">
        <v>763</v>
      </c>
      <c r="B106" s="182" t="str">
        <f ca="1">IF(LEN(A106)=0,"",INDEX('Smelter Look-up'!$A:$A,MATCH($A106,'Smelter Look-up'!$E:$E,0)))</f>
        <v>Tin</v>
      </c>
      <c r="C106" s="186" t="str">
        <f ca="1">IF(LEN(A106)=0,"",INDEX('Smelter Look-up'!$C:$C,MATCH($A106,'Smelter Look-up'!$E:$E,0)))</f>
        <v>Thaisarco</v>
      </c>
      <c r="D106" s="230"/>
      <c r="E106" s="182" t="str">
        <f ca="1">IF(ISERROR($V106),"",OFFSET('Smelter Look-up'!$D$4,$V106-4,0)&amp;"")</f>
        <v>THAILAND</v>
      </c>
      <c r="F106" s="182" t="str">
        <f ca="1">IF(ISERROR($V106),"",OFFSET('Smelter Look-up'!$E$4,$V106-4,0))</f>
        <v>CID001898</v>
      </c>
      <c r="G106" s="182" t="str">
        <f ca="1">IF(C106=$X$4,IF(ISERROR($V106),"Enter smelter details","RMI"),IF(ISERROR($V106),"",OFFSET('Smelter Look-up'!$F$4,$V106-4,0)))</f>
        <v>RMI</v>
      </c>
      <c r="H106" s="183">
        <f ca="1">IF(ISERROR($V106),"",OFFSET('Smelter Look-up'!$G$4,$V106-4,0))</f>
        <v>0</v>
      </c>
      <c r="I106" s="184" t="str">
        <f ca="1">IF(ISERROR($V106),"",OFFSET('Smelter Look-up'!$H$4,$V106-4,0))</f>
        <v>Amphur Muang</v>
      </c>
      <c r="J106" s="184" t="str">
        <f ca="1">IF(ISERROR($V106),"",OFFSET('Smelter Look-up'!$I$4,$V106-4,0))</f>
        <v>Phuket</v>
      </c>
      <c r="K106" s="224"/>
      <c r="L106" s="224"/>
      <c r="M106" s="224"/>
      <c r="N106" s="224"/>
      <c r="O106" s="224"/>
      <c r="P106" s="185"/>
      <c r="Q106" s="225"/>
      <c r="R106" s="182" t="str">
        <f ca="1">IF(ISERROR($V106),"",OFFSET('Smelter Look-up'!$C$4,$V106-4,0)&amp;"")</f>
        <v>Thaisarco</v>
      </c>
      <c r="S106" s="181" t="str">
        <f t="shared" ca="1" si="14"/>
        <v>TH</v>
      </c>
      <c r="T106" s="181" t="str">
        <f ca="1">IF(B106="","",IF(ISERROR(MATCH($J106,SorP!$B$1:$B$6226,0)),"",INDIRECT("'SorP'!$A$"&amp;MATCH($S106&amp;$J106,SorP!C:C,0))))</f>
        <v>TH-83</v>
      </c>
      <c r="U106" s="201"/>
      <c r="V106" s="226">
        <f ca="1">IF(C106="",NA(),IF(OR(C106="Smelter not listed",C106="Smelter not yet identified"),MATCH($B106&amp;$D106,'Smelter Look-up'!$J:$J,0),MATCH($B106&amp;$C106,'Smelter Look-up'!$J:$J,0)))</f>
        <v>521</v>
      </c>
      <c r="X106" s="227">
        <f t="shared" ca="1" si="15"/>
        <v>0</v>
      </c>
      <c r="AB106" s="228" t="str">
        <f t="shared" ca="1" si="16"/>
        <v>TinThaisarco</v>
      </c>
    </row>
    <row r="107" spans="1:28" s="227" customFormat="1" ht="20.399999999999999">
      <c r="A107" s="181" t="s">
        <v>715</v>
      </c>
      <c r="B107" s="182" t="str">
        <f ca="1">IF(LEN(A107)=0,"",INDEX('Smelter Look-up'!$A:$A,MATCH($A107,'Smelter Look-up'!$E:$E,0)))</f>
        <v>Gold</v>
      </c>
      <c r="C107" s="186" t="str">
        <f ca="1">IF(LEN(A107)=0,"",INDEX('Smelter Look-up'!$C:$C,MATCH($A107,'Smelter Look-up'!$E:$E,0)))</f>
        <v>Shandong Gold Smelting Co., Ltd.</v>
      </c>
      <c r="D107" s="230"/>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Gold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247</v>
      </c>
      <c r="X107" s="227">
        <f t="shared" ca="1" si="15"/>
        <v>0</v>
      </c>
      <c r="AB107" s="228" t="str">
        <f t="shared" ca="1" si="16"/>
        <v>GoldShandong Gold Smelting Co., Ltd.</v>
      </c>
    </row>
    <row r="108" spans="1:28" s="227" customFormat="1" ht="20.399999999999999">
      <c r="A108" s="181" t="s">
        <v>716</v>
      </c>
      <c r="B108" s="182" t="str">
        <f ca="1">IF(LEN(A108)=0,"",INDEX('Smelter Look-up'!$A:$A,MATCH($A108,'Smelter Look-up'!$E:$E,0)))</f>
        <v>Gold</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293</v>
      </c>
      <c r="X108" s="227">
        <f t="shared" ca="1" si="15"/>
        <v>0</v>
      </c>
      <c r="AB108" s="228" t="str">
        <f t="shared" ca="1" si="16"/>
        <v>GoldTokuriki Honten Co., Ltd.</v>
      </c>
    </row>
    <row r="109" spans="1:28" s="227" customFormat="1" ht="20.399999999999999">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20.399999999999999">
      <c r="A110" s="181" t="s">
        <v>719</v>
      </c>
      <c r="B110" s="182" t="str">
        <f ca="1">IF(LEN(A110)=0,"",INDEX('Smelter Look-up'!$A:$A,MATCH($A110,'Smelter Look-up'!$E:$E,0)))</f>
        <v>Gold</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4"/>
        <v>BE</v>
      </c>
      <c r="T110" s="181" t="str">
        <f ca="1">IF(B110="","",IF(ISERROR(MATCH($J110,SorP!$B$1:$B$6226,0)),"",INDIRECT("'SorP'!$A$"&amp;MATCH($S110&amp;$J110,SorP!C:C,0))))</f>
        <v>BE-VAN</v>
      </c>
      <c r="U110" s="201"/>
      <c r="V110" s="226">
        <f ca="1">IF(C110="",NA(),IF(OR(C110="Smelter not listed",C110="Smelter not yet identified"),MATCH($B110&amp;$D110,'Smelter Look-up'!$J:$J,0),MATCH($B110&amp;$C110,'Smelter Look-up'!$J:$J,0)))</f>
        <v>302</v>
      </c>
      <c r="X110" s="227">
        <f t="shared" ca="1" si="15"/>
        <v>0</v>
      </c>
      <c r="AB110" s="228" t="str">
        <f t="shared" ca="1" si="16"/>
        <v>GoldUmicore S.A. Business Unit Precious Metals Refining</v>
      </c>
    </row>
    <row r="111" spans="1:28" s="227" customFormat="1" ht="20.399999999999999">
      <c r="A111" s="181" t="s">
        <v>720</v>
      </c>
      <c r="B111" s="182" t="str">
        <f ca="1">IF(LEN(A111)=0,"",INDEX('Smelter Look-up'!$A:$A,MATCH($A111,'Smelter Look-up'!$E:$E,0)))</f>
        <v>Gold</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4"/>
        <v>US</v>
      </c>
      <c r="T111" s="181" t="str">
        <f ca="1">IF(B111="","",IF(ISERROR(MATCH($J111,SorP!$B$1:$B$6226,0)),"",INDIRECT("'SorP'!$A$"&amp;MATCH($S111&amp;$J111,SorP!C:C,0))))</f>
        <v>US-NY</v>
      </c>
      <c r="U111" s="201"/>
      <c r="V111" s="226">
        <f ca="1">IF(C111="",NA(),IF(OR(C111="Smelter not listed",C111="Smelter not yet identified"),MATCH($B111&amp;$D111,'Smelter Look-up'!$J:$J,0),MATCH($B111&amp;$C111,'Smelter Look-up'!$J:$J,0)))</f>
        <v>303</v>
      </c>
      <c r="X111" s="227">
        <f t="shared" ca="1" si="15"/>
        <v>0</v>
      </c>
      <c r="AB111" s="228" t="str">
        <f t="shared" ca="1" si="16"/>
        <v>GoldUnited Precious Metal Refining, Inc.</v>
      </c>
    </row>
    <row r="112" spans="1:28" s="227" customFormat="1" ht="20.399999999999999">
      <c r="A112" s="181" t="s">
        <v>721</v>
      </c>
      <c r="B112" s="182" t="str">
        <f ca="1">IF(LEN(A112)=0,"",INDEX('Smelter Look-up'!$A:$A,MATCH($A112,'Smelter Look-up'!$E:$E,0)))</f>
        <v>Gold</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4"/>
        <v>CH</v>
      </c>
      <c r="T112" s="181" t="str">
        <f ca="1">IF(B112="","",IF(ISERROR(MATCH($J112,SorP!$B$1:$B$6226,0)),"",INDIRECT("'SorP'!$A$"&amp;MATCH($S112&amp;$J112,SorP!C:C,0))))</f>
        <v>CH-TI</v>
      </c>
      <c r="U112" s="201"/>
      <c r="V112" s="226">
        <f ca="1">IF(C112="",NA(),IF(OR(C112="Smelter not listed",C112="Smelter not yet identified"),MATCH($B112&amp;$D112,'Smelter Look-up'!$J:$J,0),MATCH($B112&amp;$C112,'Smelter Look-up'!$J:$J,0)))</f>
        <v>304</v>
      </c>
      <c r="X112" s="227">
        <f t="shared" ca="1" si="15"/>
        <v>0</v>
      </c>
      <c r="AB112" s="228" t="str">
        <f t="shared" ca="1" si="16"/>
        <v>GoldValcambi S.A.</v>
      </c>
    </row>
    <row r="113" spans="1:28" s="227" customFormat="1" ht="20.399999999999999">
      <c r="A113" s="181" t="s">
        <v>722</v>
      </c>
      <c r="B113" s="182" t="str">
        <f ca="1">IF(LEN(A113)=0,"",INDEX('Smelter Look-up'!$A:$A,MATCH($A113,'Smelter Look-up'!$E:$E,0)))</f>
        <v>Gold</v>
      </c>
      <c r="C113" s="186" t="str">
        <f ca="1">IF(LEN(A113)=0,"",INDEX('Smelter Look-up'!$C:$C,MATCH($A113,'Smelter Look-up'!$E:$E,0)))</f>
        <v>Western Australian Mint (T/a The Perth Mint)</v>
      </c>
      <c r="D113" s="230"/>
      <c r="E113" s="182" t="str">
        <f ca="1">IF(ISERROR($V113),"",OFFSET('Smelter Look-up'!$D$4,$V113-4,0)&amp;"")</f>
        <v>AUSTRALIA</v>
      </c>
      <c r="F113" s="182" t="str">
        <f ca="1">IF(ISERROR($V113),"",OFFSET('Smelter Look-up'!$E$4,$V113-4,0))</f>
        <v>CID002030</v>
      </c>
      <c r="G113" s="182" t="str">
        <f ca="1">IF(C113=$X$4,IF(ISERROR($V113),"Enter smelter details","RMI"),IF(ISERROR($V113),"",OFFSET('Smelter Look-up'!$F$4,$V113-4,0)))</f>
        <v>RMI</v>
      </c>
      <c r="H113" s="183">
        <f ca="1">IF(ISERROR($V113),"",OFFSET('Smelter Look-up'!$G$4,$V113-4,0))</f>
        <v>0</v>
      </c>
      <c r="I113" s="184" t="str">
        <f ca="1">IF(ISERROR($V113),"",OFFSET('Smelter Look-up'!$H$4,$V113-4,0))</f>
        <v>Newburn</v>
      </c>
      <c r="J113" s="184" t="str">
        <f ca="1">IF(ISERROR($V113),"",OFFSET('Smelter Look-up'!$I$4,$V113-4,0))</f>
        <v>Western Australia</v>
      </c>
      <c r="K113" s="224"/>
      <c r="L113" s="224"/>
      <c r="M113" s="224"/>
      <c r="N113" s="224"/>
      <c r="O113" s="224"/>
      <c r="P113" s="185"/>
      <c r="Q113" s="225"/>
      <c r="R113" s="182" t="str">
        <f ca="1">IF(ISERROR($V113),"",OFFSET('Smelter Look-up'!$C$4,$V113-4,0)&amp;"")</f>
        <v>Western Australian Mint (T/a The Perth Mint)</v>
      </c>
      <c r="S113" s="181" t="str">
        <f t="shared" ca="1" si="14"/>
        <v>AU</v>
      </c>
      <c r="T113" s="181" t="str">
        <f ca="1">IF(B113="","",IF(ISERROR(MATCH($J113,SorP!$B$1:$B$6226,0)),"",INDIRECT("'SorP'!$A$"&amp;MATCH($S113&amp;$J113,SorP!C:C,0))))</f>
        <v>AU-WA</v>
      </c>
      <c r="U113" s="201"/>
      <c r="V113" s="226">
        <f ca="1">IF(C113="",NA(),IF(OR(C113="Smelter not listed",C113="Smelter not yet identified"),MATCH($B113&amp;$D113,'Smelter Look-up'!$J:$J,0),MATCH($B113&amp;$C113,'Smelter Look-up'!$J:$J,0)))</f>
        <v>306</v>
      </c>
      <c r="X113" s="227">
        <f t="shared" ca="1" si="15"/>
        <v>0</v>
      </c>
      <c r="AB113" s="228" t="str">
        <f t="shared" ca="1" si="16"/>
        <v>GoldWestern Australian Mint (T/a The Perth Mint)</v>
      </c>
    </row>
    <row r="114" spans="1:28" s="227" customFormat="1" ht="20.399999999999999">
      <c r="A114" s="181" t="s">
        <v>764</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530</v>
      </c>
      <c r="X114" s="227">
        <f t="shared" ca="1" si="15"/>
        <v>0</v>
      </c>
      <c r="AB114" s="228" t="str">
        <f t="shared" ca="1" si="16"/>
        <v>TinWhite Solder Metalurgia e Mineracao Ltda.</v>
      </c>
    </row>
    <row r="115" spans="1:28" s="227" customFormat="1" ht="20.399999999999999">
      <c r="A115" s="181" t="s">
        <v>775</v>
      </c>
      <c r="B115" s="182" t="str">
        <f ca="1">IF(LEN(A115)=0,"",INDEX('Smelter Look-up'!$A:$A,MATCH($A115,'Smelter Look-up'!$E:$E,0)))</f>
        <v>Tungsten</v>
      </c>
      <c r="C115" s="186" t="str">
        <f ca="1">IF(LEN(A115)=0,"",INDEX('Smelter Look-up'!$C:$C,MATCH($A115,'Smelter Look-up'!$E:$E,0)))</f>
        <v>Wolfram Bergbau und Hutten AG</v>
      </c>
      <c r="D115" s="230"/>
      <c r="E115" s="182" t="str">
        <f ca="1">IF(ISERROR($V115),"",OFFSET('Smelter Look-up'!$D$4,$V115-4,0)&amp;"")</f>
        <v>AUSTRIA</v>
      </c>
      <c r="F115" s="182" t="str">
        <f ca="1">IF(ISERROR($V115),"",OFFSET('Smelter Look-up'!$E$4,$V115-4,0))</f>
        <v>CID002044</v>
      </c>
      <c r="G115" s="182" t="str">
        <f ca="1">IF(C115=$X$4,IF(ISERROR($V115),"Enter smelter details","RMI"),IF(ISERROR($V115),"",OFFSET('Smelter Look-up'!$F$4,$V115-4,0)))</f>
        <v>RMI</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4"/>
        <v>AT</v>
      </c>
      <c r="T115" s="181" t="str">
        <f ca="1">IF(B115="","",IF(ISERROR(MATCH($J115,SorP!$B$1:$B$6226,0)),"",INDIRECT("'SorP'!$A$"&amp;MATCH($S115&amp;$J115,SorP!C:C,0))))</f>
        <v>AT-6</v>
      </c>
      <c r="U115" s="201"/>
      <c r="V115" s="226">
        <f ca="1">IF(C115="",NA(),IF(OR(C115="Smelter not listed",C115="Smelter not yet identified"),MATCH($B115&amp;$D115,'Smelter Look-up'!$J:$J,0),MATCH($B115&amp;$C115,'Smelter Look-up'!$J:$J,0)))</f>
        <v>632</v>
      </c>
      <c r="X115" s="227">
        <f t="shared" ca="1" si="15"/>
        <v>0</v>
      </c>
      <c r="AB115" s="228" t="str">
        <f t="shared" ca="1" si="16"/>
        <v>TungstenWolfram Bergbau und Hutten AG</v>
      </c>
    </row>
    <row r="116" spans="1:28" s="227" customFormat="1" ht="20.399999999999999">
      <c r="A116" s="181" t="s">
        <v>776</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t="str">
        <f ca="1">IF(C116=$X$4,IF(ISERROR($V116),"Enter smelter details","RMI"),IF(ISERROR($V116),"",OFFSET('Smelter Look-up'!$F$4,$V116-4,0)))</f>
        <v>RMI</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636</v>
      </c>
      <c r="X116" s="227">
        <f t="shared" ca="1" si="15"/>
        <v>0</v>
      </c>
      <c r="AB116" s="228" t="str">
        <f t="shared" ca="1" si="16"/>
        <v>TungstenXiamen Tungsten Co., Ltd.</v>
      </c>
    </row>
    <row r="117" spans="1:28" s="227" customFormat="1" ht="20.399999999999999">
      <c r="A117" s="181" t="s">
        <v>723</v>
      </c>
      <c r="B117" s="182" t="str">
        <f ca="1">IF(LEN(A117)=0,"",INDEX('Smelter Look-up'!$A:$A,MATCH($A117,'Smelter Look-up'!$E:$E,0)))</f>
        <v>Gold</v>
      </c>
      <c r="C117" s="186" t="str">
        <f ca="1">IF(LEN(A117)=0,"",INDEX('Smelter Look-up'!$C:$C,MATCH($A117,'Smelter Look-up'!$E:$E,0)))</f>
        <v>Yamakin Co., Ltd.</v>
      </c>
      <c r="D117" s="230"/>
      <c r="E117" s="182" t="str">
        <f ca="1">IF(ISERROR($V117),"",OFFSET('Smelter Look-up'!$D$4,$V117-4,0)&amp;"")</f>
        <v>JAPAN</v>
      </c>
      <c r="F117" s="182" t="str">
        <f ca="1">IF(ISERROR($V117),"",OFFSET('Smelter Look-up'!$E$4,$V117-4,0))</f>
        <v>CID002100</v>
      </c>
      <c r="G117" s="182" t="str">
        <f ca="1">IF(C117=$X$4,IF(ISERROR($V117),"Enter smelter details","RMI"),IF(ISERROR($V117),"",OFFSET('Smelter Look-up'!$F$4,$V117-4,0)))</f>
        <v>RMI</v>
      </c>
      <c r="H117" s="183">
        <f ca="1">IF(ISERROR($V117),"",OFFSET('Smelter Look-up'!$G$4,$V117-4,0))</f>
        <v>0</v>
      </c>
      <c r="I117" s="184" t="str">
        <f ca="1">IF(ISERROR($V117),"",OFFSET('Smelter Look-up'!$H$4,$V117-4,0))</f>
        <v>Konan</v>
      </c>
      <c r="J117" s="184" t="str">
        <f ca="1">IF(ISERROR($V117),"",OFFSET('Smelter Look-up'!$I$4,$V117-4,0))</f>
        <v>Kochi</v>
      </c>
      <c r="K117" s="224"/>
      <c r="L117" s="224"/>
      <c r="M117" s="224"/>
      <c r="N117" s="224"/>
      <c r="O117" s="224"/>
      <c r="P117" s="185"/>
      <c r="Q117" s="225"/>
      <c r="R117" s="182" t="str">
        <f ca="1">IF(ISERROR($V117),"",OFFSET('Smelter Look-up'!$C$4,$V117-4,0)&amp;"")</f>
        <v>Yamakin Co., Ltd.</v>
      </c>
      <c r="S117" s="181" t="str">
        <f t="shared" ca="1" si="14"/>
        <v>JP</v>
      </c>
      <c r="T117" s="181" t="str">
        <f ca="1">IF(B117="","",IF(ISERROR(MATCH($J117,SorP!$B$1:$B$6226,0)),"",INDIRECT("'SorP'!$A$"&amp;MATCH($S117&amp;$J117,SorP!C:C,0))))</f>
        <v>JP-39</v>
      </c>
      <c r="U117" s="201"/>
      <c r="V117" s="226">
        <f ca="1">IF(C117="",NA(),IF(OR(C117="Smelter not listed",C117="Smelter not yet identified"),MATCH($B117&amp;$D117,'Smelter Look-up'!$J:$J,0),MATCH($B117&amp;$C117,'Smelter Look-up'!$J:$J,0)))</f>
        <v>310</v>
      </c>
      <c r="X117" s="227">
        <f t="shared" ca="1" si="15"/>
        <v>0</v>
      </c>
      <c r="AB117" s="228" t="str">
        <f t="shared" ca="1" si="16"/>
        <v>GoldYamakin Co., Ltd.</v>
      </c>
    </row>
    <row r="118" spans="1:28" s="227" customFormat="1" ht="20.399999999999999">
      <c r="A118" s="181" t="s">
        <v>724</v>
      </c>
      <c r="B118" s="182" t="str">
        <f ca="1">IF(LEN(A118)=0,"",INDEX('Smelter Look-up'!$A:$A,MATCH($A118,'Smelter Look-up'!$E:$E,0)))</f>
        <v>Gold</v>
      </c>
      <c r="C118" s="186" t="str">
        <f ca="1">IF(LEN(A118)=0,"",INDEX('Smelter Look-up'!$C:$C,MATCH($A118,'Smelter Look-up'!$E:$E,0)))</f>
        <v>Yokohama Metal Co., Ltd.</v>
      </c>
      <c r="D118" s="230"/>
      <c r="E118" s="182" t="str">
        <f ca="1">IF(ISERROR($V118),"",OFFSET('Smelter Look-up'!$D$4,$V118-4,0)&amp;"")</f>
        <v>JAPAN</v>
      </c>
      <c r="F118" s="182" t="str">
        <f ca="1">IF(ISERROR($V118),"",OFFSET('Smelter Look-up'!$E$4,$V118-4,0))</f>
        <v>CID002129</v>
      </c>
      <c r="G118" s="182" t="str">
        <f ca="1">IF(C118=$X$4,IF(ISERROR($V118),"Enter smelter details","RMI"),IF(ISERROR($V118),"",OFFSET('Smelter Look-up'!$F$4,$V118-4,0)))</f>
        <v>RMI</v>
      </c>
      <c r="H118" s="183">
        <f ca="1">IF(ISERROR($V118),"",OFFSET('Smelter Look-up'!$G$4,$V118-4,0))</f>
        <v>0</v>
      </c>
      <c r="I118" s="184" t="str">
        <f ca="1">IF(ISERROR($V118),"",OFFSET('Smelter Look-up'!$H$4,$V118-4,0))</f>
        <v>Sagamihara</v>
      </c>
      <c r="J118" s="184" t="str">
        <f ca="1">IF(ISERROR($V118),"",OFFSET('Smelter Look-up'!$I$4,$V118-4,0))</f>
        <v>Kanagawa</v>
      </c>
      <c r="K118" s="224"/>
      <c r="L118" s="224"/>
      <c r="M118" s="224"/>
      <c r="N118" s="224"/>
      <c r="O118" s="224"/>
      <c r="P118" s="185"/>
      <c r="Q118" s="225"/>
      <c r="R118" s="182" t="str">
        <f ca="1">IF(ISERROR($V118),"",OFFSET('Smelter Look-up'!$C$4,$V118-4,0)&amp;"")</f>
        <v>Yokohama Metal Co., Ltd.</v>
      </c>
      <c r="S118" s="181" t="str">
        <f t="shared" ca="1" si="14"/>
        <v>JP</v>
      </c>
      <c r="T118" s="181" t="str">
        <f ca="1">IF(B118="","",IF(ISERROR(MATCH($J118,SorP!$B$1:$B$6226,0)),"",INDIRECT("'SorP'!$A$"&amp;MATCH($S118&amp;$J118,SorP!C:C,0))))</f>
        <v>JP-14</v>
      </c>
      <c r="U118" s="201"/>
      <c r="V118" s="226">
        <f ca="1">IF(C118="",NA(),IF(OR(C118="Smelter not listed",C118="Smelter not yet identified"),MATCH($B118&amp;$D118,'Smelter Look-up'!$J:$J,0),MATCH($B118&amp;$C118,'Smelter Look-up'!$J:$J,0)))</f>
        <v>316</v>
      </c>
      <c r="X118" s="227">
        <f t="shared" ca="1" si="15"/>
        <v>0</v>
      </c>
      <c r="AB118" s="228" t="str">
        <f t="shared" ca="1" si="16"/>
        <v>GoldYokohama Metal Co., Ltd.</v>
      </c>
    </row>
    <row r="119" spans="1:28" s="227" customFormat="1" ht="20.399999999999999">
      <c r="A119" s="181" t="s">
        <v>766</v>
      </c>
      <c r="B119" s="182" t="str">
        <f ca="1">IF(LEN(A119)=0,"",INDEX('Smelter Look-up'!$A:$A,MATCH($A119,'Smelter Look-up'!$E:$E,0)))</f>
        <v>Tin</v>
      </c>
      <c r="C119" s="186" t="str">
        <f ca="1">IF(LEN(A119)=0,"",INDEX('Smelter Look-up'!$C:$C,MATCH($A119,'Smelter Look-up'!$E:$E,0)))</f>
        <v>Tin Smelting Branch of Yunnan Tin Co., Ltd.</v>
      </c>
      <c r="D119" s="230"/>
      <c r="E119" s="182" t="str">
        <f ca="1">IF(ISERROR($V119),"",OFFSET('Smelter Look-up'!$D$4,$V119-4,0)&amp;"")</f>
        <v>CHINA</v>
      </c>
      <c r="F119" s="182" t="str">
        <f ca="1">IF(ISERROR($V119),"",OFFSET('Smelter Look-up'!$E$4,$V119-4,0))</f>
        <v>CID002180</v>
      </c>
      <c r="G119" s="182" t="str">
        <f ca="1">IF(C119=$X$4,IF(ISERROR($V119),"Enter smelter details","RMI"),IF(ISERROR($V119),"",OFFSET('Smelter Look-up'!$F$4,$V119-4,0)))</f>
        <v>RMI</v>
      </c>
      <c r="H119" s="183">
        <f ca="1">IF(ISERROR($V119),"",OFFSET('Smelter Look-up'!$G$4,$V119-4,0))</f>
        <v>0</v>
      </c>
      <c r="I119" s="184" t="str">
        <f ca="1">IF(ISERROR($V119),"",OFFSET('Smelter Look-up'!$H$4,$V119-4,0))</f>
        <v>Gejiu</v>
      </c>
      <c r="J119" s="184" t="str">
        <f ca="1">IF(ISERROR($V119),"",OFFSET('Smelter Look-up'!$I$4,$V119-4,0))</f>
        <v>Yunnan Sheng</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 ca="1">IF(C119="",NA(),IF(OR(C119="Smelter not listed",C119="Smelter not yet identified"),MATCH($B119&amp;$D119,'Smelter Look-up'!$J:$J,0),MATCH($B119&amp;$C119,'Smelter Look-up'!$J:$J,0)))</f>
        <v>524</v>
      </c>
      <c r="X119" s="227">
        <f t="shared" ca="1" si="15"/>
        <v>0</v>
      </c>
      <c r="AB119" s="228" t="str">
        <f t="shared" ca="1" si="16"/>
        <v>TinTin Smelting Branch of Yunnan Tin Co., Ltd.</v>
      </c>
    </row>
    <row r="120" spans="1:28" s="227" customFormat="1" ht="20.399999999999999">
      <c r="A120" s="181" t="s">
        <v>726</v>
      </c>
      <c r="B120" s="182" t="str">
        <f ca="1">IF(LEN(A120)=0,"",INDEX('Smelter Look-up'!$A:$A,MATCH($A120,'Smelter Look-up'!$E:$E,0)))</f>
        <v>Gold</v>
      </c>
      <c r="C120" s="186" t="str">
        <f ca="1">IF(LEN(A120)=0,"",INDEX('Smelter Look-up'!$C:$C,MATCH($A120,'Smelter Look-up'!$E:$E,0)))</f>
        <v>Zhongyuan Gold Smelter of Zhongjin Gold Corporation</v>
      </c>
      <c r="D120" s="230"/>
      <c r="E120" s="182" t="str">
        <f ca="1">IF(ISERROR($V120),"",OFFSET('Smelter Look-up'!$D$4,$V120-4,0)&amp;"")</f>
        <v>CHINA</v>
      </c>
      <c r="F120" s="182" t="str">
        <f ca="1">IF(ISERROR($V120),"",OFFSET('Smelter Look-up'!$E$4,$V120-4,0))</f>
        <v>CID002224</v>
      </c>
      <c r="G120" s="182" t="str">
        <f ca="1">IF(C120=$X$4,IF(ISERROR($V120),"Enter smelter details","RMI"),IF(ISERROR($V120),"",OFFSET('Smelter Look-up'!$F$4,$V120-4,0)))</f>
        <v>RMI</v>
      </c>
      <c r="H120" s="183">
        <f ca="1">IF(ISERROR($V120),"",OFFSET('Smelter Look-up'!$G$4,$V120-4,0))</f>
        <v>0</v>
      </c>
      <c r="I120" s="184" t="str">
        <f ca="1">IF(ISERROR($V120),"",OFFSET('Smelter Look-up'!$H$4,$V120-4,0))</f>
        <v>Sanmenxia</v>
      </c>
      <c r="J120" s="184" t="str">
        <f ca="1">IF(ISERROR($V120),"",OFFSET('Smelter Look-up'!$I$4,$V120-4,0))</f>
        <v>Henan Sheng</v>
      </c>
      <c r="K120" s="224"/>
      <c r="L120" s="224"/>
      <c r="M120" s="224"/>
      <c r="N120" s="224"/>
      <c r="O120" s="224"/>
      <c r="P120" s="185"/>
      <c r="Q120" s="225"/>
      <c r="R120" s="182" t="str">
        <f ca="1">IF(ISERROR($V120),"",OFFSET('Smelter Look-up'!$C$4,$V120-4,0)&amp;"")</f>
        <v>Zhongyuan Gold Smelter of Zhongjin Gold Corporation</v>
      </c>
      <c r="S120" s="181" t="str">
        <f t="shared" ca="1" si="14"/>
        <v>CN</v>
      </c>
      <c r="T120" s="181" t="str">
        <f ca="1">IF(B120="","",IF(ISERROR(MATCH($J120,SorP!$B$1:$B$6226,0)),"",INDIRECT("'SorP'!$A$"&amp;MATCH($S120&amp;$J120,SorP!C:C,0))))</f>
        <v>CN-HA</v>
      </c>
      <c r="U120" s="201"/>
      <c r="V120" s="226">
        <f ca="1">IF(C120="",NA(),IF(OR(C120="Smelter not listed",C120="Smelter not yet identified"),MATCH($B120&amp;$D120,'Smelter Look-up'!$J:$J,0),MATCH($B120&amp;$C120,'Smelter Look-up'!$J:$J,0)))</f>
        <v>326</v>
      </c>
      <c r="X120" s="227">
        <f t="shared" ca="1" si="15"/>
        <v>0</v>
      </c>
      <c r="AB120" s="228" t="str">
        <f t="shared" ca="1" si="16"/>
        <v>GoldZhongyuan Gold Smelter of Zhongjin Gold Corporation</v>
      </c>
    </row>
    <row r="121" spans="1:28" s="227" customFormat="1" ht="20.399999999999999">
      <c r="A121" s="181" t="s">
        <v>727</v>
      </c>
      <c r="B121" s="182" t="str">
        <f ca="1">IF(LEN(A121)=0,"",INDEX('Smelter Look-up'!$A:$A,MATCH($A121,'Smelter Look-up'!$E:$E,0)))</f>
        <v>Gold</v>
      </c>
      <c r="C121" s="186" t="str">
        <f ca="1">IF(LEN(A121)=0,"",INDEX('Smelter Look-up'!$C:$C,MATCH($A121,'Smelter Look-up'!$E:$E,0)))</f>
        <v>Gold Refinery of Zijin Mining Group Co., Ltd.</v>
      </c>
      <c r="D121" s="230"/>
      <c r="E121" s="182" t="str">
        <f ca="1">IF(ISERROR($V121),"",OFFSET('Smelter Look-up'!$D$4,$V121-4,0)&amp;"")</f>
        <v>CHINA</v>
      </c>
      <c r="F121" s="182" t="str">
        <f ca="1">IF(ISERROR($V121),"",OFFSET('Smelter Look-up'!$E$4,$V121-4,0))</f>
        <v>CID002243</v>
      </c>
      <c r="G121" s="182" t="str">
        <f ca="1">IF(C121=$X$4,IF(ISERROR($V121),"Enter smelter details","RMI"),IF(ISERROR($V121),"",OFFSET('Smelter Look-up'!$F$4,$V121-4,0)))</f>
        <v>RMI</v>
      </c>
      <c r="H121" s="183">
        <f ca="1">IF(ISERROR($V121),"",OFFSET('Smelter Look-up'!$G$4,$V121-4,0))</f>
        <v>0</v>
      </c>
      <c r="I121" s="184" t="str">
        <f ca="1">IF(ISERROR($V121),"",OFFSET('Smelter Look-up'!$H$4,$V121-4,0))</f>
        <v>Shanghang</v>
      </c>
      <c r="J121" s="184" t="str">
        <f ca="1">IF(ISERROR($V121),"",OFFSET('Smelter Look-up'!$I$4,$V121-4,0))</f>
        <v>Fujian Sheng</v>
      </c>
      <c r="K121" s="224"/>
      <c r="L121" s="224"/>
      <c r="M121" s="224"/>
      <c r="N121" s="224"/>
      <c r="O121" s="224"/>
      <c r="P121" s="185"/>
      <c r="Q121" s="225"/>
      <c r="R121" s="182" t="str">
        <f ca="1">IF(ISERROR($V121),"",OFFSET('Smelter Look-up'!$C$4,$V121-4,0)&amp;"")</f>
        <v>Gold Refinery of Zijin Mining Group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95</v>
      </c>
      <c r="X121" s="227">
        <f t="shared" ca="1" si="15"/>
        <v>0</v>
      </c>
      <c r="AB121" s="228" t="str">
        <f t="shared" ca="1" si="16"/>
        <v>GoldGold Refinery of Zijin Mining Group Co., Ltd.</v>
      </c>
    </row>
    <row r="122" spans="1:28" s="227" customFormat="1" ht="20.399999999999999">
      <c r="A122" s="181" t="s">
        <v>2270</v>
      </c>
      <c r="B122" s="182" t="str">
        <f ca="1">IF(LEN(A122)=0,"",INDEX('Smelter Look-up'!$A:$A,MATCH($A122,'Smelter Look-up'!$E:$E,0)))</f>
        <v>Gold</v>
      </c>
      <c r="C122" s="186" t="str">
        <f ca="1">IF(LEN(A122)=0,"",INDEX('Smelter Look-up'!$C:$C,MATCH($A122,'Smelter Look-up'!$E:$E,0)))</f>
        <v>SAFINA A.S.</v>
      </c>
      <c r="D122" s="230"/>
      <c r="E122" s="182" t="str">
        <f ca="1">IF(ISERROR($V122),"",OFFSET('Smelter Look-up'!$D$4,$V122-4,0)&amp;"")</f>
        <v>CZECHIA</v>
      </c>
      <c r="F122" s="182" t="str">
        <f ca="1">IF(ISERROR($V122),"",OFFSET('Smelter Look-up'!$E$4,$V122-4,0))</f>
        <v>CID002290</v>
      </c>
      <c r="G122" s="182" t="str">
        <f ca="1">IF(C122=$X$4,IF(ISERROR($V122),"Enter smelter details","RMI"),IF(ISERROR($V122),"",OFFSET('Smelter Look-up'!$F$4,$V122-4,0)))</f>
        <v>RMI</v>
      </c>
      <c r="H122" s="183">
        <f ca="1">IF(ISERROR($V122),"",OFFSET('Smelter Look-up'!$G$4,$V122-4,0))</f>
        <v>0</v>
      </c>
      <c r="I122" s="184" t="str">
        <f ca="1">IF(ISERROR($V122),"",OFFSET('Smelter Look-up'!$H$4,$V122-4,0))</f>
        <v>Vestec</v>
      </c>
      <c r="J122" s="184" t="str">
        <f ca="1">IF(ISERROR($V122),"",OFFSET('Smelter Look-up'!$I$4,$V122-4,0))</f>
        <v>Praha-západ</v>
      </c>
      <c r="K122" s="224"/>
      <c r="L122" s="224"/>
      <c r="M122" s="224"/>
      <c r="N122" s="224"/>
      <c r="O122" s="224"/>
      <c r="P122" s="185"/>
      <c r="Q122" s="225"/>
      <c r="R122" s="182" t="str">
        <f ca="1">IF(ISERROR($V122),"",OFFSET('Smelter Look-up'!$C$4,$V122-4,0)&amp;"")</f>
        <v>SAFINA A.S.</v>
      </c>
      <c r="S122" s="181" t="str">
        <f t="shared" ca="1" si="14"/>
        <v>CZ</v>
      </c>
      <c r="T122" s="181" t="str">
        <f ca="1">IF(B122="","",IF(ISERROR(MATCH($J122,SorP!$B$1:$B$6226,0)),"",INDIRECT("'SorP'!$A$"&amp;MATCH($S122&amp;$J122,SorP!C:C,0))))</f>
        <v>CZ-20A</v>
      </c>
      <c r="U122" s="201"/>
      <c r="V122" s="226">
        <f ca="1">IF(C122="",NA(),IF(OR(C122="Smelter not listed",C122="Smelter not yet identified"),MATCH($B122&amp;$D122,'Smelter Look-up'!$J:$J,0),MATCH($B122&amp;$C122,'Smelter Look-up'!$J:$J,0)))</f>
        <v>233</v>
      </c>
      <c r="X122" s="227">
        <f t="shared" ca="1" si="15"/>
        <v>0</v>
      </c>
      <c r="AB122" s="228" t="str">
        <f t="shared" ca="1" si="16"/>
        <v>GoldSAFINA A.S.</v>
      </c>
    </row>
    <row r="123" spans="1:28" s="227" customFormat="1" ht="20.399999999999999">
      <c r="A123" s="181" t="s">
        <v>133</v>
      </c>
      <c r="B123" s="182" t="str">
        <f ca="1">IF(LEN(A123)=0,"",INDEX('Smelter Look-up'!$A:$A,MATCH($A123,'Smelter Look-up'!$E:$E,0)))</f>
        <v>Tungsten</v>
      </c>
      <c r="C123" s="186" t="str">
        <f ca="1">IF(LEN(A123)=0,"",INDEX('Smelter Look-up'!$C:$C,MATCH($A123,'Smelter Look-up'!$E:$E,0)))</f>
        <v>Jiangxi Yaosheng Tungsten Co., Ltd.</v>
      </c>
      <c r="D123" s="230"/>
      <c r="E123" s="182" t="str">
        <f ca="1">IF(ISERROR($V123),"",OFFSET('Smelter Look-up'!$D$4,$V123-4,0)&amp;"")</f>
        <v>CHINA</v>
      </c>
      <c r="F123" s="182" t="str">
        <f ca="1">IF(ISERROR($V123),"",OFFSET('Smelter Look-up'!$E$4,$V123-4,0))</f>
        <v>CID002316</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Jiangxi Yaosheng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597</v>
      </c>
      <c r="X123" s="227">
        <f t="shared" ca="1" si="15"/>
        <v>0</v>
      </c>
      <c r="AB123" s="228" t="str">
        <f t="shared" ca="1" si="16"/>
        <v>TungstenJiangxi Yaosheng Tungsten Co., Ltd.</v>
      </c>
    </row>
    <row r="124" spans="1:28" s="227" customFormat="1" ht="20.399999999999999">
      <c r="A124" s="181" t="s">
        <v>134</v>
      </c>
      <c r="B124" s="182" t="str">
        <f ca="1">IF(LEN(A124)=0,"",INDEX('Smelter Look-up'!$A:$A,MATCH($A124,'Smelter Look-up'!$E:$E,0)))</f>
        <v>Tungsten</v>
      </c>
      <c r="C124" s="186" t="str">
        <f ca="1">IF(LEN(A124)=0,"",INDEX('Smelter Look-up'!$C:$C,MATCH($A124,'Smelter Look-up'!$E:$E,0)))</f>
        <v>Jiangxi Xinsheng Tungsten Industry Co., Ltd.</v>
      </c>
      <c r="D124" s="230"/>
      <c r="E124" s="182" t="str">
        <f ca="1">IF(ISERROR($V124),"",OFFSET('Smelter Look-up'!$D$4,$V124-4,0)&amp;"")</f>
        <v>CHINA</v>
      </c>
      <c r="F124" s="182" t="str">
        <f ca="1">IF(ISERROR($V124),"",OFFSET('Smelter Look-up'!$E$4,$V124-4,0))</f>
        <v>CID002317</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Jiangxi Xinsheng Tungsten Industry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596</v>
      </c>
      <c r="X124" s="227">
        <f t="shared" ca="1" si="15"/>
        <v>0</v>
      </c>
      <c r="AB124" s="228" t="str">
        <f t="shared" ca="1" si="16"/>
        <v>TungstenJiangxi Xinsheng Tungsten Industry Co., Ltd.</v>
      </c>
    </row>
    <row r="125" spans="1:28" s="227" customFormat="1" ht="20.399999999999999">
      <c r="A125" s="181" t="s">
        <v>136</v>
      </c>
      <c r="B125" s="182" t="str">
        <f ca="1">IF(LEN(A125)=0,"",INDEX('Smelter Look-up'!$A:$A,MATCH($A125,'Smelter Look-up'!$E:$E,0)))</f>
        <v>Tungsten</v>
      </c>
      <c r="C125" s="186" t="str">
        <f ca="1">IF(LEN(A125)=0,"",INDEX('Smelter Look-up'!$C:$C,MATCH($A125,'Smelter Look-up'!$E:$E,0)))</f>
        <v>Malipo Haiyu Tungsten Co., Ltd.</v>
      </c>
      <c r="D125" s="230"/>
      <c r="E125" s="182" t="str">
        <f ca="1">IF(ISERROR($V125),"",OFFSET('Smelter Look-up'!$D$4,$V125-4,0)&amp;"")</f>
        <v>CHINA</v>
      </c>
      <c r="F125" s="182" t="str">
        <f ca="1">IF(ISERROR($V125),"",OFFSET('Smelter Look-up'!$E$4,$V125-4,0))</f>
        <v>CID002319</v>
      </c>
      <c r="G125" s="182" t="str">
        <f ca="1">IF(C125=$X$4,IF(ISERROR($V125),"Enter smelter details","RMI"),IF(ISERROR($V125),"",OFFSET('Smelter Look-up'!$F$4,$V125-4,0)))</f>
        <v>RMI</v>
      </c>
      <c r="H125" s="183">
        <f ca="1">IF(ISERROR($V125),"",OFFSET('Smelter Look-up'!$G$4,$V125-4,0))</f>
        <v>0</v>
      </c>
      <c r="I125" s="184" t="str">
        <f ca="1">IF(ISERROR($V125),"",OFFSET('Smelter Look-up'!$H$4,$V125-4,0))</f>
        <v>Wen Shan</v>
      </c>
      <c r="J125" s="184" t="str">
        <f ca="1">IF(ISERROR($V125),"",OFFSET('Smelter Look-up'!$I$4,$V125-4,0))</f>
        <v>Yunnan Sheng</v>
      </c>
      <c r="K125" s="224"/>
      <c r="L125" s="224"/>
      <c r="M125" s="224"/>
      <c r="N125" s="224"/>
      <c r="O125" s="224"/>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610</v>
      </c>
      <c r="X125" s="227">
        <f t="shared" ca="1" si="15"/>
        <v>0</v>
      </c>
      <c r="AB125" s="228" t="str">
        <f t="shared" ca="1" si="16"/>
        <v>TungstenMalipo Haiyu Tungsten Co., Ltd.</v>
      </c>
    </row>
    <row r="126" spans="1:28" s="227" customFormat="1" ht="20.399999999999999">
      <c r="A126" s="181" t="s">
        <v>137</v>
      </c>
      <c r="B126" s="182" t="str">
        <f ca="1">IF(LEN(A126)=0,"",INDEX('Smelter Look-up'!$A:$A,MATCH($A126,'Smelter Look-up'!$E:$E,0)))</f>
        <v>Tungsten</v>
      </c>
      <c r="C126" s="186" t="str">
        <f ca="1">IF(LEN(A126)=0,"",INDEX('Smelter Look-up'!$C:$C,MATCH($A126,'Smelter Look-up'!$E:$E,0)))</f>
        <v>Xiamen Tungsten (H.C.) Co., Ltd.</v>
      </c>
      <c r="D126" s="230"/>
      <c r="E126" s="182" t="str">
        <f ca="1">IF(ISERROR($V126),"",OFFSET('Smelter Look-up'!$D$4,$V126-4,0)&amp;"")</f>
        <v>CHINA</v>
      </c>
      <c r="F126" s="182" t="str">
        <f ca="1">IF(ISERROR($V126),"",OFFSET('Smelter Look-up'!$E$4,$V126-4,0))</f>
        <v>CID002320</v>
      </c>
      <c r="G126" s="182" t="str">
        <f ca="1">IF(C126=$X$4,IF(ISERROR($V126),"Enter smelter details","RMI"),IF(ISERROR($V126),"",OFFSET('Smelter Look-up'!$F$4,$V126-4,0)))</f>
        <v>RMI</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635</v>
      </c>
      <c r="X126" s="227">
        <f t="shared" ca="1" si="15"/>
        <v>0</v>
      </c>
      <c r="AB126" s="228" t="str">
        <f t="shared" ca="1" si="16"/>
        <v>TungstenXiamen Tungsten (H.C.) Co., Ltd.</v>
      </c>
    </row>
    <row r="127" spans="1:28" s="227" customFormat="1" ht="20.399999999999999">
      <c r="A127" s="181" t="s">
        <v>130</v>
      </c>
      <c r="B127" s="182" t="str">
        <f ca="1">IF(LEN(A127)=0,"",INDEX('Smelter Look-up'!$A:$A,MATCH($A127,'Smelter Look-up'!$E:$E,0)))</f>
        <v>Tungsten</v>
      </c>
      <c r="C127" s="186" t="str">
        <f ca="1">IF(LEN(A127)=0,"",INDEX('Smelter Look-up'!$C:$C,MATCH($A127,'Smelter Look-up'!$E:$E,0)))</f>
        <v>Jiangxi Gan Bei Tungsten Co., Ltd.</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593</v>
      </c>
      <c r="X127" s="227">
        <f t="shared" ca="1" si="15"/>
        <v>0</v>
      </c>
      <c r="AB127" s="228" t="str">
        <f t="shared" ca="1" si="16"/>
        <v>TungstenJiangxi Gan Bei Tungsten Co., Ltd.</v>
      </c>
    </row>
    <row r="128" spans="1:28" s="227" customFormat="1" ht="20.399999999999999">
      <c r="A128" s="181" t="s">
        <v>131</v>
      </c>
      <c r="B128" s="182" t="str">
        <f ca="1">IF(LEN(A128)=0,"",INDEX('Smelter Look-up'!$A:$A,MATCH($A128,'Smelter Look-up'!$E:$E,0)))</f>
        <v>Tin</v>
      </c>
      <c r="C128" s="186" t="str">
        <f ca="1">IF(LEN(A128)=0,"",INDEX('Smelter Look-up'!$C:$C,MATCH($A128,'Smelter Look-up'!$E:$E,0)))</f>
        <v>Magnu's Minerais Metais e Ligas Ltda.</v>
      </c>
      <c r="D128" s="230"/>
      <c r="E128" s="182" t="str">
        <f ca="1">IF(ISERROR($V128),"",OFFSET('Smelter Look-up'!$D$4,$V128-4,0)&amp;"")</f>
        <v>BRAZIL</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467</v>
      </c>
      <c r="X128" s="227">
        <f t="shared" ca="1" si="15"/>
        <v>0</v>
      </c>
      <c r="AB128" s="228" t="str">
        <f t="shared" ca="1" si="16"/>
        <v>TinMagnu's Minerais Metais e Ligas Ltda.</v>
      </c>
    </row>
    <row r="129" spans="1:28" s="227" customFormat="1" ht="20.399999999999999">
      <c r="A129" s="181" t="s">
        <v>383</v>
      </c>
      <c r="B129" s="182" t="str">
        <f ca="1">IF(LEN(A129)=0,"",INDEX('Smelter Look-up'!$A:$A,MATCH($A129,'Smelter Look-up'!$E:$E,0)))</f>
        <v>Tantalum</v>
      </c>
      <c r="C129" s="186" t="str">
        <f ca="1">IF(LEN(A129)=0,"",INDEX('Smelter Look-up'!$C:$C,MATCH($A129,'Smelter Look-up'!$E:$E,0)))</f>
        <v>Hengyang King Xing Lifeng New Materials Co., Ltd.</v>
      </c>
      <c r="D129" s="230"/>
      <c r="E129" s="182" t="str">
        <f ca="1">IF(ISERROR($V129),"",OFFSET('Smelter Look-up'!$D$4,$V129-4,0)&amp;"")</f>
        <v>CHINA</v>
      </c>
      <c r="F129" s="182" t="str">
        <f ca="1">IF(ISERROR($V129),"",OFFSET('Smelter Look-up'!$E$4,$V129-4,0))</f>
        <v>CID002492</v>
      </c>
      <c r="G129" s="182" t="str">
        <f ca="1">IF(C129=$X$4,IF(ISERROR($V129),"Enter smelter details","RMI"),IF(ISERROR($V129),"",OFFSET('Smelter Look-up'!$F$4,$V129-4,0)))</f>
        <v>RMI</v>
      </c>
      <c r="H129" s="183">
        <f ca="1">IF(ISERROR($V129),"",OFFSET('Smelter Look-up'!$G$4,$V129-4,0))</f>
        <v>0</v>
      </c>
      <c r="I129" s="184" t="str">
        <f ca="1">IF(ISERROR($V129),"",OFFSET('Smelter Look-up'!$H$4,$V129-4,0))</f>
        <v>Hengyang</v>
      </c>
      <c r="J129" s="184" t="str">
        <f ca="1">IF(ISERROR($V129),"",OFFSET('Smelter Look-up'!$I$4,$V129-4,0))</f>
        <v>Hunan Sheng</v>
      </c>
      <c r="K129" s="224"/>
      <c r="L129" s="224"/>
      <c r="M129" s="224"/>
      <c r="N129" s="224"/>
      <c r="O129" s="224"/>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348</v>
      </c>
      <c r="X129" s="227">
        <f t="shared" ca="1" si="15"/>
        <v>0</v>
      </c>
      <c r="AB129" s="228" t="str">
        <f t="shared" ca="1" si="16"/>
        <v>TantalumHengyang King Xing Lifeng New Materials Co., Ltd.</v>
      </c>
    </row>
    <row r="130" spans="1:28" s="227" customFormat="1" ht="20.399999999999999">
      <c r="A130" s="181" t="s">
        <v>380</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576</v>
      </c>
      <c r="X130" s="227">
        <f t="shared" ca="1" si="15"/>
        <v>0</v>
      </c>
      <c r="AB130" s="228" t="str">
        <f t="shared" ca="1" si="16"/>
        <v>TungstenGanzhou Seadragon W &amp; Mo Co., Ltd.</v>
      </c>
    </row>
    <row r="131" spans="1:28" s="227" customFormat="1" ht="20.399999999999999">
      <c r="A131" s="181" t="s">
        <v>13777</v>
      </c>
      <c r="B131" s="182" t="str">
        <f ca="1">IF(LEN(A131)=0,"",INDEX('Smelter Look-up'!$A:$A,MATCH($A131,'Smelter Look-up'!$E:$E,0)))</f>
        <v>Tungsten</v>
      </c>
      <c r="C131" s="186" t="str">
        <f ca="1">IF(LEN(A131)=0,"",INDEX('Smelter Look-up'!$C:$C,MATCH($A131,'Smelter Look-up'!$E:$E,0)))</f>
        <v>Asia Tungsten Products Vietnam Ltd.</v>
      </c>
      <c r="D131" s="230"/>
      <c r="E131" s="182" t="str">
        <f ca="1">IF(ISERROR($V131),"",OFFSET('Smelter Look-up'!$D$4,$V131-4,0)&amp;"")</f>
        <v>VIET NAM</v>
      </c>
      <c r="F131" s="182" t="str">
        <f ca="1">IF(ISERROR($V131),"",OFFSET('Smelter Look-up'!$E$4,$V131-4,0))</f>
        <v>CID002502</v>
      </c>
      <c r="G131" s="182" t="str">
        <f ca="1">IF(C131=$X$4,IF(ISERROR($V131),"Enter smelter details","RMI"),IF(ISERROR($V131),"",OFFSET('Smelter Look-up'!$F$4,$V131-4,0)))</f>
        <v>RMI</v>
      </c>
      <c r="H131" s="183">
        <f ca="1">IF(ISERROR($V131),"",OFFSET('Smelter Look-up'!$G$4,$V131-4,0))</f>
        <v>0</v>
      </c>
      <c r="I131" s="184" t="str">
        <f ca="1">IF(ISERROR($V131),"",OFFSET('Smelter Look-up'!$H$4,$V131-4,0))</f>
        <v>Vinh Bao District</v>
      </c>
      <c r="J131" s="184" t="str">
        <f ca="1">IF(ISERROR($V131),"",OFFSET('Smelter Look-up'!$I$4,$V131-4,0))</f>
        <v>Hai Phong</v>
      </c>
      <c r="K131" s="224"/>
      <c r="L131" s="224"/>
      <c r="M131" s="224"/>
      <c r="N131" s="224"/>
      <c r="O131" s="224"/>
      <c r="P131" s="185"/>
      <c r="Q131" s="225"/>
      <c r="R131" s="182" t="str">
        <f ca="1">IF(ISERROR($V131),"",OFFSET('Smelter Look-up'!$C$4,$V131-4,0)&amp;"")</f>
        <v>Asia Tungsten Products Vietnam Ltd.</v>
      </c>
      <c r="S131" s="181" t="str">
        <f t="shared" ca="1" si="14"/>
        <v>VN</v>
      </c>
      <c r="T131" s="181" t="str">
        <f ca="1">IF(B131="","",IF(ISERROR(MATCH($J131,SorP!$B$1:$B$6226,0)),"",INDIRECT("'SorP'!$A$"&amp;MATCH($S131&amp;$J131,SorP!C:C,0))))</f>
        <v>VN-HP</v>
      </c>
      <c r="U131" s="201"/>
      <c r="V131" s="226">
        <f ca="1">IF(C131="",NA(),IF(OR(C131="Smelter not listed",C131="Smelter not yet identified"),MATCH($B131&amp;$D131,'Smelter Look-up'!$J:$J,0),MATCH($B131&amp;$C131,'Smelter Look-up'!$J:$J,0)))</f>
        <v>561</v>
      </c>
      <c r="X131" s="227">
        <f t="shared" ca="1" si="15"/>
        <v>0</v>
      </c>
      <c r="AB131" s="228" t="str">
        <f t="shared" ca="1" si="16"/>
        <v>TungstenAsia Tungsten Products Vietnam Ltd.</v>
      </c>
    </row>
    <row r="132" spans="1:28" s="227" customFormat="1" ht="20.399999999999999">
      <c r="A132" s="181"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15"/>
        <v>0</v>
      </c>
      <c r="AB132" s="228" t="str">
        <f t="shared" ca="1" si="16"/>
        <v>TinPT ATD Makmur Mandiri Jaya</v>
      </c>
    </row>
    <row r="133" spans="1:28" s="227" customFormat="1" ht="20.399999999999999">
      <c r="A133" s="181" t="s">
        <v>1361</v>
      </c>
      <c r="B133" s="182" t="str">
        <f ca="1">IF(LEN(A133)=0,"",INDEX('Smelter Look-up'!$A:$A,MATCH($A133,'Smelter Look-up'!$E:$E,0)))</f>
        <v>Tantalum</v>
      </c>
      <c r="C133" s="186" t="str">
        <f ca="1">IF(LEN(A133)=0,"",INDEX('Smelter Look-up'!$C:$C,MATCH($A133,'Smelter Look-up'!$E:$E,0)))</f>
        <v>D Block Metals, LLC</v>
      </c>
      <c r="D133" s="230"/>
      <c r="E133" s="182" t="str">
        <f ca="1">IF(ISERROR($V133),"",OFFSET('Smelter Look-up'!$D$4,$V133-4,0)&amp;"")</f>
        <v>UNITED STATES OF AMERICA</v>
      </c>
      <c r="F133" s="182" t="str">
        <f ca="1">IF(ISERROR($V133),"",OFFSET('Smelter Look-up'!$E$4,$V133-4,0))</f>
        <v>CID002504</v>
      </c>
      <c r="G133" s="182" t="str">
        <f ca="1">IF(C133=$X$4,IF(ISERROR($V133),"Enter smelter details","RMI"),IF(ISERROR($V133),"",OFFSET('Smelter Look-up'!$F$4,$V133-4,0)))</f>
        <v>RMI</v>
      </c>
      <c r="H133" s="183">
        <f ca="1">IF(ISERROR($V133),"",OFFSET('Smelter Look-up'!$G$4,$V133-4,0))</f>
        <v>0</v>
      </c>
      <c r="I133" s="184" t="str">
        <f ca="1">IF(ISERROR($V133),"",OFFSET('Smelter Look-up'!$H$4,$V133-4,0))</f>
        <v>Lincolnton</v>
      </c>
      <c r="J133" s="184" t="str">
        <f ca="1">IF(ISERROR($V133),"",OFFSET('Smelter Look-up'!$I$4,$V133-4,0))</f>
        <v>North Carolina</v>
      </c>
      <c r="K133" s="224"/>
      <c r="L133" s="224"/>
      <c r="M133" s="224"/>
      <c r="N133" s="224"/>
      <c r="O133" s="224"/>
      <c r="P133" s="185"/>
      <c r="Q133" s="225"/>
      <c r="R133" s="182" t="str">
        <f ca="1">IF(ISERROR($V133),"",OFFSET('Smelter Look-up'!$C$4,$V133-4,0)&amp;"")</f>
        <v>D Block Metals, LLC</v>
      </c>
      <c r="S133" s="181" t="str">
        <f t="shared" ref="S133" ca="1" si="17">IF(B133="","",IF(ISERROR(MATCH($E133,CL,0)),"Unknown",INDIRECT("'C'!$A$"&amp;MATCH($E133,CL,0)+1)))</f>
        <v>US</v>
      </c>
      <c r="T133" s="181" t="str">
        <f ca="1">IF(B133="","",IF(ISERROR(MATCH($J133,SorP!$B$1:$B$6226,0)),"",INDIRECT("'SorP'!$A$"&amp;MATCH($S133&amp;$J133,SorP!C:C,0))))</f>
        <v>US-NC</v>
      </c>
      <c r="U133" s="201"/>
      <c r="V133" s="226">
        <f ca="1">IF(C133="",NA(),IF(OR(C133="Smelter not listed",C133="Smelter not yet identified"),MATCH($B133&amp;$D133,'Smelter Look-up'!$J:$J,0),MATCH($B133&amp;$C133,'Smelter Look-up'!$J:$J,0)))</f>
        <v>335</v>
      </c>
      <c r="X133" s="227">
        <f t="shared" ref="X133" ca="1" si="18">IF(AND(C133="Smelter not listed",OR(LEN(D133)=0,LEN(E133)=0)),1,0)</f>
        <v>0</v>
      </c>
      <c r="AB133" s="228" t="str">
        <f t="shared" ref="AB133" ca="1" si="19">B133&amp;C133</f>
        <v>TantalumD Block Metals, LLC</v>
      </c>
    </row>
    <row r="134" spans="1:28" s="227" customFormat="1" ht="20.399999999999999">
      <c r="A134" s="181" t="s">
        <v>1362</v>
      </c>
      <c r="B134" s="182" t="str">
        <f ca="1">IF(LEN(A134)=0,"",INDEX('Smelter Look-up'!$A:$A,MATCH($A134,'Smelter Look-up'!$E:$E,0)))</f>
        <v>Tantalum</v>
      </c>
      <c r="C134" s="186" t="str">
        <f ca="1">IF(LEN(A134)=0,"",INDEX('Smelter Look-up'!$C:$C,MATCH($A134,'Smelter Look-up'!$E:$E,0)))</f>
        <v>FIR Metals &amp; Resource Ltd.</v>
      </c>
      <c r="D134" s="230"/>
      <c r="E134" s="182" t="str">
        <f ca="1">IF(ISERROR($V134),"",OFFSET('Smelter Look-up'!$D$4,$V134-4,0)&amp;"")</f>
        <v>CHINA</v>
      </c>
      <c r="F134" s="182" t="str">
        <f ca="1">IF(ISERROR($V134),"",OFFSET('Smelter Look-up'!$E$4,$V134-4,0))</f>
        <v>CID002505</v>
      </c>
      <c r="G134" s="182" t="str">
        <f ca="1">IF(C134=$X$4,IF(ISERROR($V134),"Enter smelter details","RMI"),IF(ISERROR($V134),"",OFFSET('Smelter Look-up'!$F$4,$V134-4,0)))</f>
        <v>RMI</v>
      </c>
      <c r="H134" s="183">
        <f ca="1">IF(ISERROR($V134),"",OFFSET('Smelter Look-up'!$G$4,$V134-4,0))</f>
        <v>0</v>
      </c>
      <c r="I134" s="184" t="str">
        <f ca="1">IF(ISERROR($V134),"",OFFSET('Smelter Look-up'!$H$4,$V134-4,0))</f>
        <v>Zhuzhou</v>
      </c>
      <c r="J134" s="184" t="str">
        <f ca="1">IF(ISERROR($V134),"",OFFSET('Smelter Look-up'!$I$4,$V134-4,0))</f>
        <v>Hunan Sheng</v>
      </c>
      <c r="K134" s="224"/>
      <c r="L134" s="224"/>
      <c r="M134" s="224"/>
      <c r="N134" s="224"/>
      <c r="O134" s="224"/>
      <c r="P134" s="185"/>
      <c r="Q134" s="225"/>
      <c r="R134" s="182" t="str">
        <f ca="1">IF(ISERROR($V134),"",OFFSET('Smelter Look-up'!$C$4,$V134-4,0)&amp;"")</f>
        <v>FIR Metals &amp; Resource Ltd.</v>
      </c>
      <c r="S134" s="181" t="str">
        <f t="shared" ref="S134:S165" ca="1" si="20">IF(B134="","",IF(ISERROR(MATCH($E134,CL,0)),"Unknown",INDIRECT("'C'!$A$"&amp;MATCH($E134,CL,0)+1)))</f>
        <v>CN</v>
      </c>
      <c r="T134" s="181" t="str">
        <f ca="1">IF(B134="","",IF(ISERROR(MATCH($J134,SorP!$B$1:$B$6226,0)),"",INDIRECT("'SorP'!$A$"&amp;MATCH($S134&amp;$J134,SorP!C:C,0))))</f>
        <v>CN-HN</v>
      </c>
      <c r="U134" s="201"/>
      <c r="V134" s="226">
        <f ca="1">IF(C134="",NA(),IF(OR(C134="Smelter not listed",C134="Smelter not yet identified"),MATCH($B134&amp;$D134,'Smelter Look-up'!$J:$J,0),MATCH($B134&amp;$C134,'Smelter Look-up'!$J:$J,0)))</f>
        <v>338</v>
      </c>
      <c r="X134" s="227">
        <f t="shared" ref="X134:X165" ca="1" si="21">IF(AND(C134="Smelter not listed",OR(LEN(D134)=0,LEN(E134)=0)),1,0)</f>
        <v>0</v>
      </c>
      <c r="AB134" s="228" t="str">
        <f t="shared" ref="AB134:AB165" ca="1" si="22">B134&amp;C134</f>
        <v>TantalumFIR Metals &amp; Resource Ltd.</v>
      </c>
    </row>
    <row r="135" spans="1:28" s="227" customFormat="1" ht="20.399999999999999">
      <c r="A135" s="181" t="s">
        <v>1364</v>
      </c>
      <c r="B135" s="182" t="str">
        <f ca="1">IF(LEN(A135)=0,"",INDEX('Smelter Look-up'!$A:$A,MATCH($A135,'Smelter Look-up'!$E:$E,0)))</f>
        <v>Tantalum</v>
      </c>
      <c r="C135" s="186" t="str">
        <f ca="1">IF(LEN(A135)=0,"",INDEX('Smelter Look-up'!$C:$C,MATCH($A135,'Smelter Look-up'!$E:$E,0)))</f>
        <v>Jiujiang Zhongao Tantalum &amp; Niobium Co., Ltd.</v>
      </c>
      <c r="D135" s="230"/>
      <c r="E135" s="182" t="str">
        <f ca="1">IF(ISERROR($V135),"",OFFSET('Smelter Look-up'!$D$4,$V135-4,0)&amp;"")</f>
        <v>CHINA</v>
      </c>
      <c r="F135" s="182" t="str">
        <f ca="1">IF(ISERROR($V135),"",OFFSET('Smelter Look-up'!$E$4,$V135-4,0))</f>
        <v>CID002506</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356</v>
      </c>
      <c r="X135" s="227">
        <f t="shared" ca="1" si="21"/>
        <v>0</v>
      </c>
      <c r="AB135" s="228" t="str">
        <f t="shared" ca="1" si="22"/>
        <v>TantalumJiujiang Zhongao Tantalum &amp; Niobium Co., Ltd.</v>
      </c>
    </row>
    <row r="136" spans="1:28" s="227" customFormat="1" ht="20.399999999999999">
      <c r="A136" s="181" t="s">
        <v>15817</v>
      </c>
      <c r="B136" s="182" t="e">
        <f ca="1">IF(LEN(A136)=0,"",INDEX('Smelter Look-up'!$A:$A,MATCH($A136,'Smelter Look-up'!$E:$E,0)))</f>
        <v>#N/A</v>
      </c>
      <c r="C136" s="186" t="e">
        <f ca="1">IF(LEN(A136)=0,"",INDEX('Smelter Look-up'!$C:$C,MATCH($A136,'Smelter Look-up'!$E:$E,0)))</f>
        <v>#N/A</v>
      </c>
      <c r="D136" s="230"/>
      <c r="E136" s="182" t="str">
        <f ca="1">IF(ISERROR($V136),"",OFFSET('Smelter Look-up'!$D$4,$V136-4,0)&amp;"")</f>
        <v/>
      </c>
      <c r="F136" s="182" t="str">
        <f ca="1">IF(ISERROR($V136),"",OFFSET('Smelter Look-up'!$E$4,$V136-4,0))</f>
        <v/>
      </c>
      <c r="G136" s="182" t="e">
        <f ca="1">IF(C136=$X$4,IF(ISERROR($V136),"Enter smelter details","RMI"),IF(ISERROR($V136),"",OFFSET('Smelter Look-up'!$F$4,$V136-4,0)))</f>
        <v>#N/A</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e">
        <f t="shared" ca="1" si="20"/>
        <v>#N/A</v>
      </c>
      <c r="T136" s="181" t="e">
        <f ca="1">IF(B136="","",IF(ISERROR(MATCH($J136,SorP!$B$1:$B$6226,0)),"",INDIRECT("'SorP'!$A$"&amp;MATCH($S136&amp;$J136,SorP!C:C,0))))</f>
        <v>#N/A</v>
      </c>
      <c r="U136" s="201"/>
      <c r="V136" s="226" t="e">
        <f ca="1">IF(C136="",NA(),IF(OR(C136="Smelter not listed",C136="Smelter not yet identified"),MATCH($B136&amp;$D136,'Smelter Look-up'!$J:$J,0),MATCH($B136&amp;$C136,'Smelter Look-up'!$J:$J,0)))</f>
        <v>#N/A</v>
      </c>
      <c r="X136" s="227" t="e">
        <f t="shared" ca="1" si="21"/>
        <v>#N/A</v>
      </c>
      <c r="AB136" s="228" t="e">
        <f t="shared" ca="1" si="22"/>
        <v>#N/A</v>
      </c>
    </row>
    <row r="137" spans="1:28" s="227" customFormat="1" ht="20.399999999999999">
      <c r="A137" s="181" t="s">
        <v>1356</v>
      </c>
      <c r="B137" s="182" t="str">
        <f ca="1">IF(LEN(A137)=0,"",INDEX('Smelter Look-up'!$A:$A,MATCH($A137,'Smelter Look-up'!$E:$E,0)))</f>
        <v>Gold</v>
      </c>
      <c r="C137" s="186" t="str">
        <f ca="1">IF(LEN(A137)=0,"",INDEX('Smelter Look-up'!$C:$C,MATCH($A137,'Smelter Look-up'!$E:$E,0)))</f>
        <v>MMTC-PAMP India Pvt., Ltd.</v>
      </c>
      <c r="D137" s="230"/>
      <c r="E137" s="182" t="str">
        <f ca="1">IF(ISERROR($V137),"",OFFSET('Smelter Look-up'!$D$4,$V137-4,0)&amp;"")</f>
        <v>INDIA</v>
      </c>
      <c r="F137" s="182" t="str">
        <f ca="1">IF(ISERROR($V137),"",OFFSET('Smelter Look-up'!$E$4,$V137-4,0))</f>
        <v>CID002509</v>
      </c>
      <c r="G137" s="182" t="str">
        <f ca="1">IF(C137=$X$4,IF(ISERROR($V137),"Enter smelter details","RMI"),IF(ISERROR($V137),"",OFFSET('Smelter Look-up'!$F$4,$V137-4,0)))</f>
        <v>RMI</v>
      </c>
      <c r="H137" s="183">
        <f ca="1">IF(ISERROR($V137),"",OFFSET('Smelter Look-up'!$G$4,$V137-4,0))</f>
        <v>0</v>
      </c>
      <c r="I137" s="184" t="str">
        <f ca="1">IF(ISERROR($V137),"",OFFSET('Smelter Look-up'!$H$4,$V137-4,0))</f>
        <v>Mewat</v>
      </c>
      <c r="J137" s="184" t="str">
        <f ca="1">IF(ISERROR($V137),"",OFFSET('Smelter Look-up'!$I$4,$V137-4,0))</f>
        <v>Haryāna</v>
      </c>
      <c r="K137" s="224"/>
      <c r="L137" s="224"/>
      <c r="M137" s="224"/>
      <c r="N137" s="224"/>
      <c r="O137" s="224"/>
      <c r="P137" s="185"/>
      <c r="Q137" s="225"/>
      <c r="R137" s="182" t="str">
        <f ca="1">IF(ISERROR($V137),"",OFFSET('Smelter Look-up'!$C$4,$V137-4,0)&amp;"")</f>
        <v>MMTC-PAMP India Pvt., Ltd.</v>
      </c>
      <c r="S137" s="181" t="str">
        <f t="shared" ca="1" si="20"/>
        <v>IN</v>
      </c>
      <c r="T137" s="181" t="str">
        <f ca="1">IF(B137="","",IF(ISERROR(MATCH($J137,SorP!$B$1:$B$6226,0)),"",INDIRECT("'SorP'!$A$"&amp;MATCH($S137&amp;$J137,SorP!C:C,0))))</f>
        <v>IN-HR</v>
      </c>
      <c r="U137" s="201"/>
      <c r="V137" s="226">
        <f ca="1">IF(C137="",NA(),IF(OR(C137="Smelter not listed",C137="Smelter not yet identified"),MATCH($B137&amp;$D137,'Smelter Look-up'!$J:$J,0),MATCH($B137&amp;$C137,'Smelter Look-up'!$J:$J,0)))</f>
        <v>193</v>
      </c>
      <c r="X137" s="227">
        <f t="shared" ca="1" si="21"/>
        <v>0</v>
      </c>
      <c r="AB137" s="228" t="str">
        <f t="shared" ca="1" si="22"/>
        <v>GoldMMTC-PAMP India Pvt., Ltd.</v>
      </c>
    </row>
    <row r="138" spans="1:28" s="227" customFormat="1" ht="20.399999999999999">
      <c r="A138" s="181" t="s">
        <v>1354</v>
      </c>
      <c r="B138" s="182" t="str">
        <f ca="1">IF(LEN(A138)=0,"",INDEX('Smelter Look-up'!$A:$A,MATCH($A138,'Smelter Look-up'!$E:$E,0)))</f>
        <v>Gold</v>
      </c>
      <c r="C138" s="186" t="str">
        <f ca="1">IF(LEN(A138)=0,"",INDEX('Smelter Look-up'!$C:$C,MATCH($A138,'Smelter Look-up'!$E:$E,0)))</f>
        <v>KGHM Polska Miedz Spolka Akcyjna</v>
      </c>
      <c r="D138" s="230"/>
      <c r="E138" s="182" t="str">
        <f ca="1">IF(ISERROR($V138),"",OFFSET('Smelter Look-up'!$D$4,$V138-4,0)&amp;"")</f>
        <v>POLAND</v>
      </c>
      <c r="F138" s="182" t="str">
        <f ca="1">IF(ISERROR($V138),"",OFFSET('Smelter Look-up'!$E$4,$V138-4,0))</f>
        <v>CID002511</v>
      </c>
      <c r="G138" s="182" t="str">
        <f ca="1">IF(C138=$X$4,IF(ISERROR($V138),"Enter smelter details","RMI"),IF(ISERROR($V138),"",OFFSET('Smelter Look-up'!$F$4,$V138-4,0)))</f>
        <v>RMI</v>
      </c>
      <c r="H138" s="183">
        <f ca="1">IF(ISERROR($V138),"",OFFSET('Smelter Look-up'!$G$4,$V138-4,0))</f>
        <v>0</v>
      </c>
      <c r="I138" s="184" t="str">
        <f ca="1">IF(ISERROR($V138),"",OFFSET('Smelter Look-up'!$H$4,$V138-4,0))</f>
        <v>Lubin</v>
      </c>
      <c r="J138" s="184" t="str">
        <f ca="1">IF(ISERROR($V138),"",OFFSET('Smelter Look-up'!$I$4,$V138-4,0))</f>
        <v>Dolnośląskie</v>
      </c>
      <c r="K138" s="224"/>
      <c r="L138" s="224"/>
      <c r="M138" s="224"/>
      <c r="N138" s="224"/>
      <c r="O138" s="224"/>
      <c r="P138" s="185"/>
      <c r="Q138" s="225"/>
      <c r="R138" s="182" t="str">
        <f ca="1">IF(ISERROR($V138),"",OFFSET('Smelter Look-up'!$C$4,$V138-4,0)&amp;"")</f>
        <v>KGHM Polska Miedz Spolka Akcyjna</v>
      </c>
      <c r="S138" s="181" t="str">
        <f t="shared" ca="1" si="20"/>
        <v>PL</v>
      </c>
      <c r="T138" s="181" t="str">
        <f ca="1">IF(B138="","",IF(ISERROR(MATCH($J138,SorP!$B$1:$B$6226,0)),"",INDIRECT("'SorP'!$A$"&amp;MATCH($S138&amp;$J138,SorP!C:C,0))))</f>
        <v>PL-02</v>
      </c>
      <c r="U138" s="201"/>
      <c r="V138" s="226">
        <f ca="1">IF(C138="",NA(),IF(OR(C138="Smelter not listed",C138="Smelter not yet identified"),MATCH($B138&amp;$D138,'Smelter Look-up'!$J:$J,0),MATCH($B138&amp;$C138,'Smelter Look-up'!$J:$J,0)))</f>
        <v>144</v>
      </c>
      <c r="X138" s="227">
        <f t="shared" ca="1" si="21"/>
        <v>0</v>
      </c>
      <c r="AB138" s="228" t="str">
        <f t="shared" ca="1" si="22"/>
        <v>GoldKGHM Polska Miedz Spolka Akcyjna</v>
      </c>
    </row>
    <row r="139" spans="1:28" s="227" customFormat="1" ht="20.399999999999999">
      <c r="A139" s="181" t="s">
        <v>1363</v>
      </c>
      <c r="B139" s="182" t="str">
        <f ca="1">IF(LEN(A139)=0,"",INDEX('Smelter Look-up'!$A:$A,MATCH($A139,'Smelter Look-up'!$E:$E,0)))</f>
        <v>Tantalum</v>
      </c>
      <c r="C139" s="186" t="str">
        <f ca="1">IF(LEN(A139)=0,"",INDEX('Smelter Look-up'!$C:$C,MATCH($A139,'Smelter Look-up'!$E:$E,0)))</f>
        <v>Jiangxi Dinghai Tantalum &amp; Niobium Co., Ltd.</v>
      </c>
      <c r="D139" s="230"/>
      <c r="E139" s="182" t="str">
        <f ca="1">IF(ISERROR($V139),"",OFFSET('Smelter Look-up'!$D$4,$V139-4,0)&amp;"")</f>
        <v>CHINA</v>
      </c>
      <c r="F139" s="182" t="str">
        <f ca="1">IF(ISERROR($V139),"",OFFSET('Smelter Look-up'!$E$4,$V139-4,0))</f>
        <v>CID002512</v>
      </c>
      <c r="G139" s="182" t="str">
        <f ca="1">IF(C139=$X$4,IF(ISERROR($V139),"Enter smelter details","RMI"),IF(ISERROR($V139),"",OFFSET('Smelter Look-up'!$F$4,$V139-4,0)))</f>
        <v>RMI</v>
      </c>
      <c r="H139" s="183">
        <f ca="1">IF(ISERROR($V139),"",OFFSET('Smelter Look-up'!$G$4,$V139-4,0))</f>
        <v>0</v>
      </c>
      <c r="I139" s="184" t="str">
        <f ca="1">IF(ISERROR($V139),"",OFFSET('Smelter Look-up'!$H$4,$V139-4,0))</f>
        <v>Fengxin</v>
      </c>
      <c r="J139" s="184" t="str">
        <f ca="1">IF(ISERROR($V139),"",OFFSET('Smelter Look-up'!$I$4,$V139-4,0))</f>
        <v>Jiangxi Sheng</v>
      </c>
      <c r="K139" s="224"/>
      <c r="L139" s="224"/>
      <c r="M139" s="224"/>
      <c r="N139" s="224"/>
      <c r="O139" s="224"/>
      <c r="P139" s="185"/>
      <c r="Q139" s="225"/>
      <c r="R139" s="182" t="str">
        <f ca="1">IF(ISERROR($V139),"",OFFSET('Smelter Look-up'!$C$4,$V139-4,0)&amp;"")</f>
        <v>Jiangxi Dinghai Tantalum &amp; Niobium Co.,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349</v>
      </c>
      <c r="X139" s="227">
        <f t="shared" ca="1" si="21"/>
        <v>0</v>
      </c>
      <c r="AB139" s="228" t="str">
        <f t="shared" ca="1" si="22"/>
        <v>TantalumJiangxi Dinghai Tantalum &amp; Niobium Co., Ltd.</v>
      </c>
    </row>
    <row r="140" spans="1:28" s="227" customFormat="1" ht="20.399999999999999">
      <c r="A140" s="181" t="s">
        <v>1366</v>
      </c>
      <c r="B140" s="182" t="str">
        <f ca="1">IF(LEN(A140)=0,"",INDEX('Smelter Look-up'!$A:$A,MATCH($A140,'Smelter Look-up'!$E:$E,0)))</f>
        <v>Tin</v>
      </c>
      <c r="C140" s="186" t="str">
        <f ca="1">IF(LEN(A140)=0,"",INDEX('Smelter Look-up'!$C:$C,MATCH($A140,'Smelter Look-up'!$E:$E,0)))</f>
        <v>O.M. Manufacturing Philippines, Inc.</v>
      </c>
      <c r="D140" s="230"/>
      <c r="E140" s="182" t="str">
        <f ca="1">IF(ISERROR($V140),"",OFFSET('Smelter Look-up'!$D$4,$V140-4,0)&amp;"")</f>
        <v>PHILIPPINES</v>
      </c>
      <c r="F140" s="182" t="str">
        <f ca="1">IF(ISERROR($V140),"",OFFSET('Smelter Look-up'!$E$4,$V140-4,0))</f>
        <v>CID002517</v>
      </c>
      <c r="G140" s="182" t="str">
        <f ca="1">IF(C140=$X$4,IF(ISERROR($V140),"Enter smelter details","RMI"),IF(ISERROR($V140),"",OFFSET('Smelter Look-up'!$F$4,$V140-4,0)))</f>
        <v>RMI</v>
      </c>
      <c r="H140" s="183">
        <f ca="1">IF(ISERROR($V140),"",OFFSET('Smelter Look-up'!$G$4,$V140-4,0))</f>
        <v>0</v>
      </c>
      <c r="I140" s="184" t="str">
        <f ca="1">IF(ISERROR($V140),"",OFFSET('Smelter Look-up'!$H$4,$V140-4,0))</f>
        <v>Rosario</v>
      </c>
      <c r="J140" s="184" t="str">
        <f ca="1">IF(ISERROR($V140),"",OFFSET('Smelter Look-up'!$I$4,$V140-4,0))</f>
        <v>Cavite</v>
      </c>
      <c r="K140" s="224"/>
      <c r="L140" s="224"/>
      <c r="M140" s="224"/>
      <c r="N140" s="224"/>
      <c r="O140" s="224"/>
      <c r="P140" s="185"/>
      <c r="Q140" s="225"/>
      <c r="R140" s="182" t="str">
        <f ca="1">IF(ISERROR($V140),"",OFFSET('Smelter Look-up'!$C$4,$V140-4,0)&amp;"")</f>
        <v>O.M. Manufacturing Philippines, Inc.</v>
      </c>
      <c r="S140" s="181" t="str">
        <f t="shared" ca="1" si="20"/>
        <v>PH</v>
      </c>
      <c r="T140" s="181" t="str">
        <f ca="1">IF(B140="","",IF(ISERROR(MATCH($J140,SorP!$B$1:$B$6226,0)),"",INDIRECT("'SorP'!$A$"&amp;MATCH($S140&amp;$J140,SorP!C:C,0))))</f>
        <v>PH-CAV</v>
      </c>
      <c r="U140" s="201"/>
      <c r="V140" s="226">
        <f ca="1">IF(C140="",NA(),IF(OR(C140="Smelter not listed",C140="Smelter not yet identified"),MATCH($B140&amp;$D140,'Smelter Look-up'!$J:$J,0),MATCH($B140&amp;$C140,'Smelter Look-up'!$J:$J,0)))</f>
        <v>491</v>
      </c>
      <c r="X140" s="227">
        <f t="shared" ca="1" si="21"/>
        <v>0</v>
      </c>
      <c r="AB140" s="228" t="str">
        <f t="shared" ca="1" si="22"/>
        <v>TinO.M. Manufacturing Philippines, Inc.</v>
      </c>
    </row>
    <row r="141" spans="1:28" s="227" customFormat="1" ht="20.399999999999999">
      <c r="A141" s="181" t="s">
        <v>1388</v>
      </c>
      <c r="B141" s="182" t="str">
        <f ca="1">IF(LEN(A141)=0,"",INDEX('Smelter Look-up'!$A:$A,MATCH($A141,'Smelter Look-up'!$E:$E,0)))</f>
        <v>Tantalum</v>
      </c>
      <c r="C141" s="186" t="str">
        <f ca="1">IF(LEN(A141)=0,"",INDEX('Smelter Look-up'!$C:$C,MATCH($A141,'Smelter Look-up'!$E:$E,0)))</f>
        <v>KEMET de Mexico</v>
      </c>
      <c r="D141" s="230"/>
      <c r="E141" s="182" t="str">
        <f ca="1">IF(ISERROR($V141),"",OFFSET('Smelter Look-up'!$D$4,$V141-4,0)&amp;"")</f>
        <v>MEXICO</v>
      </c>
      <c r="F141" s="182" t="str">
        <f ca="1">IF(ISERROR($V141),"",OFFSET('Smelter Look-up'!$E$4,$V141-4,0))</f>
        <v>CID002539</v>
      </c>
      <c r="G141" s="182" t="str">
        <f ca="1">IF(C141=$X$4,IF(ISERROR($V141),"Enter smelter details","RMI"),IF(ISERROR($V141),"",OFFSET('Smelter Look-up'!$F$4,$V141-4,0)))</f>
        <v>RMI</v>
      </c>
      <c r="H141" s="183">
        <f ca="1">IF(ISERROR($V141),"",OFFSET('Smelter Look-up'!$G$4,$V141-4,0))</f>
        <v>0</v>
      </c>
      <c r="I141" s="184" t="str">
        <f ca="1">IF(ISERROR($V141),"",OFFSET('Smelter Look-up'!$H$4,$V141-4,0))</f>
        <v>Matamoros</v>
      </c>
      <c r="J141" s="184" t="str">
        <f ca="1">IF(ISERROR($V141),"",OFFSET('Smelter Look-up'!$I$4,$V141-4,0))</f>
        <v>Tamaulipas</v>
      </c>
      <c r="K141" s="224"/>
      <c r="L141" s="224"/>
      <c r="M141" s="224"/>
      <c r="N141" s="224"/>
      <c r="O141" s="224"/>
      <c r="P141" s="185"/>
      <c r="Q141" s="225"/>
      <c r="R141" s="182" t="str">
        <f ca="1">IF(ISERROR($V141),"",OFFSET('Smelter Look-up'!$C$4,$V141-4,0)&amp;"")</f>
        <v>KEMET de Mexico</v>
      </c>
      <c r="S141" s="181" t="str">
        <f t="shared" ca="1" si="20"/>
        <v>MX</v>
      </c>
      <c r="T141" s="181" t="str">
        <f ca="1">IF(B141="","",IF(ISERROR(MATCH($J141,SorP!$B$1:$B$6226,0)),"",INDIRECT("'SorP'!$A$"&amp;MATCH($S141&amp;$J141,SorP!C:C,0))))</f>
        <v>MX-TAM</v>
      </c>
      <c r="U141" s="201"/>
      <c r="V141" s="226">
        <f ca="1">IF(C141="",NA(),IF(OR(C141="Smelter not listed",C141="Smelter not yet identified"),MATCH($B141&amp;$D141,'Smelter Look-up'!$J:$J,0),MATCH($B141&amp;$C141,'Smelter Look-up'!$J:$J,0)))</f>
        <v>358</v>
      </c>
      <c r="X141" s="227">
        <f t="shared" ca="1" si="21"/>
        <v>0</v>
      </c>
      <c r="AB141" s="228" t="str">
        <f t="shared" ca="1" si="22"/>
        <v>TantalumKEMET de Mexico</v>
      </c>
    </row>
    <row r="142" spans="1:28" s="227" customFormat="1" ht="20.399999999999999">
      <c r="A142" s="181" t="s">
        <v>1390</v>
      </c>
      <c r="B142" s="182" t="str">
        <f ca="1">IF(LEN(A142)=0,"",INDEX('Smelter Look-up'!$A:$A,MATCH($A142,'Smelter Look-up'!$E:$E,0)))</f>
        <v>Tungsten</v>
      </c>
      <c r="C142" s="186" t="str">
        <f ca="1">IF(LEN(A142)=0,"",INDEX('Smelter Look-up'!$C:$C,MATCH($A142,'Smelter Look-up'!$E:$E,0)))</f>
        <v>H.C. Starck Tungsten GmbH</v>
      </c>
      <c r="D142" s="230"/>
      <c r="E142" s="182" t="str">
        <f ca="1">IF(ISERROR($V142),"",OFFSET('Smelter Look-up'!$D$4,$V142-4,0)&amp;"")</f>
        <v>GERMANY</v>
      </c>
      <c r="F142" s="182" t="str">
        <f ca="1">IF(ISERROR($V142),"",OFFSET('Smelter Look-up'!$E$4,$V142-4,0))</f>
        <v>CID002541</v>
      </c>
      <c r="G142" s="182" t="str">
        <f ca="1">IF(C142=$X$4,IF(ISERROR($V142),"Enter smelter details","RMI"),IF(ISERROR($V142),"",OFFSET('Smelter Look-up'!$F$4,$V142-4,0)))</f>
        <v>RMI</v>
      </c>
      <c r="H142" s="183">
        <f ca="1">IF(ISERROR($V142),"",OFFSET('Smelter Look-up'!$G$4,$V142-4,0))</f>
        <v>0</v>
      </c>
      <c r="I142" s="184" t="str">
        <f ca="1">IF(ISERROR($V142),"",OFFSET('Smelter Look-up'!$H$4,$V142-4,0))</f>
        <v>Goslar</v>
      </c>
      <c r="J142" s="184" t="str">
        <f ca="1">IF(ISERROR($V142),"",OFFSET('Smelter Look-up'!$I$4,$V142-4,0))</f>
        <v>Niedersachsen</v>
      </c>
      <c r="K142" s="224"/>
      <c r="L142" s="224"/>
      <c r="M142" s="224"/>
      <c r="N142" s="224"/>
      <c r="O142" s="224"/>
      <c r="P142" s="185"/>
      <c r="Q142" s="225"/>
      <c r="R142" s="182" t="str">
        <f ca="1">IF(ISERROR($V142),"",OFFSET('Smelter Look-up'!$C$4,$V142-4,0)&amp;"")</f>
        <v>H.C. Starck Tungsten GmbH</v>
      </c>
      <c r="S142" s="181" t="str">
        <f t="shared" ca="1" si="20"/>
        <v>DE</v>
      </c>
      <c r="T142" s="181" t="str">
        <f ca="1">IF(B142="","",IF(ISERROR(MATCH($J142,SorP!$B$1:$B$6226,0)),"",INDIRECT("'SorP'!$A$"&amp;MATCH($S142&amp;$J142,SorP!C:C,0))))</f>
        <v>DE-NI</v>
      </c>
      <c r="U142" s="201"/>
      <c r="V142" s="226">
        <f ca="1">IF(C142="",NA(),IF(OR(C142="Smelter not listed",C142="Smelter not yet identified"),MATCH($B142&amp;$D142,'Smelter Look-up'!$J:$J,0),MATCH($B142&amp;$C142,'Smelter Look-up'!$J:$J,0)))</f>
        <v>582</v>
      </c>
      <c r="X142" s="227">
        <f t="shared" ca="1" si="21"/>
        <v>0</v>
      </c>
      <c r="AB142" s="228" t="str">
        <f t="shared" ca="1" si="22"/>
        <v>TungstenH.C. Starck Tungsten GmbH</v>
      </c>
    </row>
    <row r="143" spans="1:28" s="227" customFormat="1" ht="20.399999999999999">
      <c r="A143" s="181" t="s">
        <v>1391</v>
      </c>
      <c r="B143" s="182" t="str">
        <f ca="1">IF(LEN(A143)=0,"",INDEX('Smelter Look-up'!$A:$A,MATCH($A143,'Smelter Look-up'!$E:$E,0)))</f>
        <v>Tungsten</v>
      </c>
      <c r="C143" s="186" t="str">
        <f ca="1">IF(LEN(A143)=0,"",INDEX('Smelter Look-up'!$C:$C,MATCH($A143,'Smelter Look-up'!$E:$E,0)))</f>
        <v>TANIOBIS Smelting GmbH &amp; Co. KG</v>
      </c>
      <c r="D143" s="230"/>
      <c r="E143" s="182" t="str">
        <f ca="1">IF(ISERROR($V143),"",OFFSET('Smelter Look-up'!$D$4,$V143-4,0)&amp;"")</f>
        <v>GERMANY</v>
      </c>
      <c r="F143" s="182" t="str">
        <f ca="1">IF(ISERROR($V143),"",OFFSET('Smelter Look-up'!$E$4,$V143-4,0))</f>
        <v>CID002542</v>
      </c>
      <c r="G143" s="182" t="str">
        <f ca="1">IF(C143=$X$4,IF(ISERROR($V143),"Enter smelter details","RMI"),IF(ISERROR($V143),"",OFFSET('Smelter Look-up'!$F$4,$V143-4,0)))</f>
        <v>RMI</v>
      </c>
      <c r="H143" s="183">
        <f ca="1">IF(ISERROR($V143),"",OFFSET('Smelter Look-up'!$G$4,$V143-4,0))</f>
        <v>0</v>
      </c>
      <c r="I143" s="184" t="str">
        <f ca="1">IF(ISERROR($V143),"",OFFSET('Smelter Look-up'!$H$4,$V143-4,0))</f>
        <v>Laufenburg</v>
      </c>
      <c r="J143" s="184" t="str">
        <f ca="1">IF(ISERROR($V143),"",OFFSET('Smelter Look-up'!$I$4,$V143-4,0))</f>
        <v>Baden-Württemberg</v>
      </c>
      <c r="K143" s="224"/>
      <c r="L143" s="224"/>
      <c r="M143" s="224"/>
      <c r="N143" s="224"/>
      <c r="O143" s="224"/>
      <c r="P143" s="185"/>
      <c r="Q143" s="225"/>
      <c r="R143" s="182" t="str">
        <f ca="1">IF(ISERROR($V143),"",OFFSET('Smelter Look-up'!$C$4,$V143-4,0)&amp;"")</f>
        <v>TANIOBIS Smelting GmbH &amp; Co. KG</v>
      </c>
      <c r="S143" s="181" t="str">
        <f t="shared" ca="1" si="20"/>
        <v>DE</v>
      </c>
      <c r="T143" s="181" t="str">
        <f ca="1">IF(B143="","",IF(ISERROR(MATCH($J143,SorP!$B$1:$B$6226,0)),"",INDIRECT("'SorP'!$A$"&amp;MATCH($S143&amp;$J143,SorP!C:C,0))))</f>
        <v>DE-BW</v>
      </c>
      <c r="U143" s="201"/>
      <c r="V143" s="226">
        <f ca="1">IF(C143="",NA(),IF(OR(C143="Smelter not listed",C143="Smelter not yet identified"),MATCH($B143&amp;$D143,'Smelter Look-up'!$J:$J,0),MATCH($B143&amp;$C143,'Smelter Look-up'!$J:$J,0)))</f>
        <v>626</v>
      </c>
      <c r="X143" s="227">
        <f t="shared" ca="1" si="21"/>
        <v>0</v>
      </c>
      <c r="AB143" s="228" t="str">
        <f t="shared" ca="1" si="22"/>
        <v>TungstenTANIOBIS Smelting GmbH &amp; Co. KG</v>
      </c>
    </row>
    <row r="144" spans="1:28" s="227" customFormat="1" ht="20.399999999999999">
      <c r="A144" s="181" t="s">
        <v>1394</v>
      </c>
      <c r="B144" s="182" t="str">
        <f ca="1">IF(LEN(A144)=0,"",INDEX('Smelter Look-up'!$A:$A,MATCH($A144,'Smelter Look-up'!$E:$E,0)))</f>
        <v>Tungsten</v>
      </c>
      <c r="C144" s="186" t="str">
        <f ca="1">IF(LEN(A144)=0,"",INDEX('Smelter Look-up'!$C:$C,MATCH($A144,'Smelter Look-up'!$E:$E,0)))</f>
        <v>Masan High-Tech Materials</v>
      </c>
      <c r="D144" s="230"/>
      <c r="E144" s="182" t="str">
        <f ca="1">IF(ISERROR($V144),"",OFFSET('Smelter Look-up'!$D$4,$V144-4,0)&amp;"")</f>
        <v>VIET NAM</v>
      </c>
      <c r="F144" s="182" t="str">
        <f ca="1">IF(ISERROR($V144),"",OFFSET('Smelter Look-up'!$E$4,$V144-4,0))</f>
        <v>CID002543</v>
      </c>
      <c r="G144" s="182" t="str">
        <f ca="1">IF(C144=$X$4,IF(ISERROR($V144),"Enter smelter details","RMI"),IF(ISERROR($V144),"",OFFSET('Smelter Look-up'!$F$4,$V144-4,0)))</f>
        <v>RMI</v>
      </c>
      <c r="H144" s="183">
        <f ca="1">IF(ISERROR($V144),"",OFFSET('Smelter Look-up'!$G$4,$V144-4,0))</f>
        <v>0</v>
      </c>
      <c r="I144" s="184" t="str">
        <f ca="1">IF(ISERROR($V144),"",OFFSET('Smelter Look-up'!$H$4,$V144-4,0))</f>
        <v>Dai Tu</v>
      </c>
      <c r="J144" s="184" t="str">
        <f ca="1">IF(ISERROR($V144),"",OFFSET('Smelter Look-up'!$I$4,$V144-4,0))</f>
        <v>Thái Nguyên</v>
      </c>
      <c r="K144" s="224"/>
      <c r="L144" s="224"/>
      <c r="M144" s="224"/>
      <c r="N144" s="224"/>
      <c r="O144" s="224"/>
      <c r="P144" s="185"/>
      <c r="Q144" s="225"/>
      <c r="R144" s="182" t="str">
        <f ca="1">IF(ISERROR($V144),"",OFFSET('Smelter Look-up'!$C$4,$V144-4,0)&amp;"")</f>
        <v>Masan High-Tech Materials</v>
      </c>
      <c r="S144" s="181" t="str">
        <f t="shared" ca="1" si="20"/>
        <v>VN</v>
      </c>
      <c r="T144" s="181" t="str">
        <f ca="1">IF(B144="","",IF(ISERROR(MATCH($J144,SorP!$B$1:$B$6226,0)),"",INDIRECT("'SorP'!$A$"&amp;MATCH($S144&amp;$J144,SorP!C:C,0))))</f>
        <v>VN-69</v>
      </c>
      <c r="U144" s="201"/>
      <c r="V144" s="226">
        <f ca="1">IF(C144="",NA(),IF(OR(C144="Smelter not listed",C144="Smelter not yet identified"),MATCH($B144&amp;$D144,'Smelter Look-up'!$J:$J,0),MATCH($B144&amp;$C144,'Smelter Look-up'!$J:$J,0)))</f>
        <v>611</v>
      </c>
      <c r="X144" s="227">
        <f t="shared" ca="1" si="21"/>
        <v>0</v>
      </c>
      <c r="AB144" s="228" t="str">
        <f t="shared" ca="1" si="22"/>
        <v>TungstenMasan High-Tech Materials</v>
      </c>
    </row>
    <row r="145" spans="1:28" s="227" customFormat="1" ht="20.399999999999999">
      <c r="A145" s="181" t="s">
        <v>1380</v>
      </c>
      <c r="B145" s="182" t="str">
        <f ca="1">IF(LEN(A145)=0,"",INDEX('Smelter Look-up'!$A:$A,MATCH($A145,'Smelter Look-up'!$E:$E,0)))</f>
        <v>Tantalum</v>
      </c>
      <c r="C145" s="186" t="str">
        <f ca="1">IF(LEN(A145)=0,"",INDEX('Smelter Look-up'!$C:$C,MATCH($A145,'Smelter Look-up'!$E:$E,0)))</f>
        <v>TANIOBIS Co., Ltd.</v>
      </c>
      <c r="D145" s="230"/>
      <c r="E145" s="182" t="str">
        <f ca="1">IF(ISERROR($V145),"",OFFSET('Smelter Look-up'!$D$4,$V145-4,0)&amp;"")</f>
        <v>THAILAND</v>
      </c>
      <c r="F145" s="182" t="str">
        <f ca="1">IF(ISERROR($V145),"",OFFSET('Smelter Look-up'!$E$4,$V145-4,0))</f>
        <v>CID002544</v>
      </c>
      <c r="G145" s="182" t="str">
        <f ca="1">IF(C145=$X$4,IF(ISERROR($V145),"Enter smelter details","RMI"),IF(ISERROR($V145),"",OFFSET('Smelter Look-up'!$F$4,$V145-4,0)))</f>
        <v>RMI</v>
      </c>
      <c r="H145" s="183">
        <f ca="1">IF(ISERROR($V145),"",OFFSET('Smelter Look-up'!$G$4,$V145-4,0))</f>
        <v>0</v>
      </c>
      <c r="I145" s="184" t="str">
        <f ca="1">IF(ISERROR($V145),"",OFFSET('Smelter Look-up'!$H$4,$V145-4,0))</f>
        <v>Map Ta Phut</v>
      </c>
      <c r="J145" s="184" t="str">
        <f ca="1">IF(ISERROR($V145),"",OFFSET('Smelter Look-up'!$I$4,$V145-4,0))</f>
        <v>Rayong</v>
      </c>
      <c r="K145" s="224"/>
      <c r="L145" s="224"/>
      <c r="M145" s="224"/>
      <c r="N145" s="224"/>
      <c r="O145" s="224"/>
      <c r="P145" s="185"/>
      <c r="Q145" s="225"/>
      <c r="R145" s="182" t="str">
        <f ca="1">IF(ISERROR($V145),"",OFFSET('Smelter Look-up'!$C$4,$V145-4,0)&amp;"")</f>
        <v>TANIOBIS Co., Ltd.</v>
      </c>
      <c r="S145" s="181" t="str">
        <f t="shared" ca="1" si="20"/>
        <v>TH</v>
      </c>
      <c r="T145" s="181" t="str">
        <f ca="1">IF(B145="","",IF(ISERROR(MATCH($J145,SorP!$B$1:$B$6226,0)),"",INDIRECT("'SorP'!$A$"&amp;MATCH($S145&amp;$J145,SorP!C:C,0))))</f>
        <v>TH-21</v>
      </c>
      <c r="U145" s="201"/>
      <c r="V145" s="226">
        <f ca="1">IF(C145="",NA(),IF(OR(C145="Smelter not listed",C145="Smelter not yet identified"),MATCH($B145&amp;$D145,'Smelter Look-up'!$J:$J,0),MATCH($B145&amp;$C145,'Smelter Look-up'!$J:$J,0)))</f>
        <v>384</v>
      </c>
      <c r="X145" s="227">
        <f t="shared" ca="1" si="21"/>
        <v>0</v>
      </c>
      <c r="AB145" s="228" t="str">
        <f t="shared" ca="1" si="22"/>
        <v>TantalumTANIOBIS Co., Ltd.</v>
      </c>
    </row>
    <row r="146" spans="1:28" s="227" customFormat="1" ht="20.399999999999999">
      <c r="A146" s="181" t="s">
        <v>1381</v>
      </c>
      <c r="B146" s="182" t="str">
        <f ca="1">IF(LEN(A146)=0,"",INDEX('Smelter Look-up'!$A:$A,MATCH($A146,'Smelter Look-up'!$E:$E,0)))</f>
        <v>Tantalum</v>
      </c>
      <c r="C146" s="186" t="str">
        <f ca="1">IF(LEN(A146)=0,"",INDEX('Smelter Look-up'!$C:$C,MATCH($A146,'Smelter Look-up'!$E:$E,0)))</f>
        <v>TANIOBIS GmbH</v>
      </c>
      <c r="D146" s="230"/>
      <c r="E146" s="182" t="str">
        <f ca="1">IF(ISERROR($V146),"",OFFSET('Smelter Look-up'!$D$4,$V146-4,0)&amp;"")</f>
        <v>GERMANY</v>
      </c>
      <c r="F146" s="182" t="str">
        <f ca="1">IF(ISERROR($V146),"",OFFSET('Smelter Look-up'!$E$4,$V146-4,0))</f>
        <v>CID002545</v>
      </c>
      <c r="G146" s="182" t="str">
        <f ca="1">IF(C146=$X$4,IF(ISERROR($V146),"Enter smelter details","RMI"),IF(ISERROR($V146),"",OFFSET('Smelter Look-up'!$F$4,$V146-4,0)))</f>
        <v>RMI</v>
      </c>
      <c r="H146" s="183">
        <f ca="1">IF(ISERROR($V146),"",OFFSET('Smelter Look-up'!$G$4,$V146-4,0))</f>
        <v>0</v>
      </c>
      <c r="I146" s="184" t="str">
        <f ca="1">IF(ISERROR($V146),"",OFFSET('Smelter Look-up'!$H$4,$V146-4,0))</f>
        <v>Goslar</v>
      </c>
      <c r="J146" s="184" t="str">
        <f ca="1">IF(ISERROR($V146),"",OFFSET('Smelter Look-up'!$I$4,$V146-4,0))</f>
        <v>Niedersachsen</v>
      </c>
      <c r="K146" s="224"/>
      <c r="L146" s="224"/>
      <c r="M146" s="224"/>
      <c r="N146" s="224"/>
      <c r="O146" s="224"/>
      <c r="P146" s="185"/>
      <c r="Q146" s="225"/>
      <c r="R146" s="182" t="str">
        <f ca="1">IF(ISERROR($V146),"",OFFSET('Smelter Look-up'!$C$4,$V146-4,0)&amp;"")</f>
        <v>TANIOBIS GmbH</v>
      </c>
      <c r="S146" s="181" t="str">
        <f t="shared" ca="1" si="20"/>
        <v>DE</v>
      </c>
      <c r="T146" s="181" t="str">
        <f ca="1">IF(B146="","",IF(ISERROR(MATCH($J146,SorP!$B$1:$B$6226,0)),"",INDIRECT("'SorP'!$A$"&amp;MATCH($S146&amp;$J146,SorP!C:C,0))))</f>
        <v>DE-NI</v>
      </c>
      <c r="U146" s="201"/>
      <c r="V146" s="226">
        <f ca="1">IF(C146="",NA(),IF(OR(C146="Smelter not listed",C146="Smelter not yet identified"),MATCH($B146&amp;$D146,'Smelter Look-up'!$J:$J,0),MATCH($B146&amp;$C146,'Smelter Look-up'!$J:$J,0)))</f>
        <v>385</v>
      </c>
      <c r="X146" s="227">
        <f t="shared" ca="1" si="21"/>
        <v>0</v>
      </c>
      <c r="AB146" s="228" t="str">
        <f t="shared" ca="1" si="22"/>
        <v>TantalumTANIOBIS GmbH</v>
      </c>
    </row>
    <row r="147" spans="1:28" s="227" customFormat="1" ht="20.399999999999999">
      <c r="A147" s="181" t="s">
        <v>1383</v>
      </c>
      <c r="B147" s="182" t="str">
        <f ca="1">IF(LEN(A147)=0,"",INDEX('Smelter Look-up'!$A:$A,MATCH($A147,'Smelter Look-up'!$E:$E,0)))</f>
        <v>Tantalum</v>
      </c>
      <c r="C147" s="186" t="str">
        <f ca="1">IF(LEN(A147)=0,"",INDEX('Smelter Look-up'!$C:$C,MATCH($A147,'Smelter Look-up'!$E:$E,0)))</f>
        <v>Materion Newton Inc.</v>
      </c>
      <c r="D147" s="230"/>
      <c r="E147" s="182" t="str">
        <f ca="1">IF(ISERROR($V147),"",OFFSET('Smelter Look-up'!$D$4,$V147-4,0)&amp;"")</f>
        <v>UNITED STATES OF AMERICA</v>
      </c>
      <c r="F147" s="182" t="str">
        <f ca="1">IF(ISERROR($V147),"",OFFSET('Smelter Look-up'!$E$4,$V147-4,0))</f>
        <v>CID002548</v>
      </c>
      <c r="G147" s="182" t="str">
        <f ca="1">IF(C147=$X$4,IF(ISERROR($V147),"Enter smelter details","RMI"),IF(ISERROR($V147),"",OFFSET('Smelter Look-up'!$F$4,$V147-4,0)))</f>
        <v>RMI</v>
      </c>
      <c r="H147" s="183">
        <f ca="1">IF(ISERROR($V147),"",OFFSET('Smelter Look-up'!$G$4,$V147-4,0))</f>
        <v>0</v>
      </c>
      <c r="I147" s="184" t="str">
        <f ca="1">IF(ISERROR($V147),"",OFFSET('Smelter Look-up'!$H$4,$V147-4,0))</f>
        <v>Newton</v>
      </c>
      <c r="J147" s="184" t="str">
        <f ca="1">IF(ISERROR($V147),"",OFFSET('Smelter Look-up'!$I$4,$V147-4,0))</f>
        <v>Massachusetts</v>
      </c>
      <c r="K147" s="224"/>
      <c r="L147" s="224"/>
      <c r="M147" s="224"/>
      <c r="N147" s="224"/>
      <c r="O147" s="224"/>
      <c r="P147" s="185"/>
      <c r="Q147" s="225"/>
      <c r="R147" s="182" t="str">
        <f ca="1">IF(ISERROR($V147),"",OFFSET('Smelter Look-up'!$C$4,$V147-4,0)&amp;"")</f>
        <v>Materion Newton Inc.</v>
      </c>
      <c r="S147" s="181" t="str">
        <f t="shared" ca="1" si="20"/>
        <v>US</v>
      </c>
      <c r="T147" s="181" t="str">
        <f ca="1">IF(B147="","",IF(ISERROR(MATCH($J147,SorP!$B$1:$B$6226,0)),"",INDIRECT("'SorP'!$A$"&amp;MATCH($S147&amp;$J147,SorP!C:C,0))))</f>
        <v>US-MA</v>
      </c>
      <c r="U147" s="201"/>
      <c r="V147" s="226">
        <f ca="1">IF(C147="",NA(),IF(OR(C147="Smelter not listed",C147="Smelter not yet identified"),MATCH($B147&amp;$D147,'Smelter Look-up'!$J:$J,0),MATCH($B147&amp;$C147,'Smelter Look-up'!$J:$J,0)))</f>
        <v>360</v>
      </c>
      <c r="X147" s="227">
        <f t="shared" ca="1" si="21"/>
        <v>0</v>
      </c>
      <c r="AB147" s="228" t="str">
        <f t="shared" ca="1" si="22"/>
        <v>TantalumMaterion Newton Inc.</v>
      </c>
    </row>
    <row r="148" spans="1:28" s="227" customFormat="1" ht="20.399999999999999">
      <c r="A148" s="181" t="s">
        <v>1385</v>
      </c>
      <c r="B148" s="182" t="str">
        <f ca="1">IF(LEN(A148)=0,"",INDEX('Smelter Look-up'!$A:$A,MATCH($A148,'Smelter Look-up'!$E:$E,0)))</f>
        <v>Tantalum</v>
      </c>
      <c r="C148" s="186" t="str">
        <f ca="1">IF(LEN(A148)=0,"",INDEX('Smelter Look-up'!$C:$C,MATCH($A148,'Smelter Look-up'!$E:$E,0)))</f>
        <v>TANIOBIS Japan Co., Ltd.</v>
      </c>
      <c r="D148" s="230"/>
      <c r="E148" s="182" t="str">
        <f ca="1">IF(ISERROR($V148),"",OFFSET('Smelter Look-up'!$D$4,$V148-4,0)&amp;"")</f>
        <v>JAPAN</v>
      </c>
      <c r="F148" s="182" t="str">
        <f ca="1">IF(ISERROR($V148),"",OFFSET('Smelter Look-up'!$E$4,$V148-4,0))</f>
        <v>CID002549</v>
      </c>
      <c r="G148" s="182" t="str">
        <f ca="1">IF(C148=$X$4,IF(ISERROR($V148),"Enter smelter details","RMI"),IF(ISERROR($V148),"",OFFSET('Smelter Look-up'!$F$4,$V148-4,0)))</f>
        <v>RMI</v>
      </c>
      <c r="H148" s="183">
        <f ca="1">IF(ISERROR($V148),"",OFFSET('Smelter Look-up'!$G$4,$V148-4,0))</f>
        <v>0</v>
      </c>
      <c r="I148" s="184" t="str">
        <f ca="1">IF(ISERROR($V148),"",OFFSET('Smelter Look-up'!$H$4,$V148-4,0))</f>
        <v>Hitachi Ohmiya-shi</v>
      </c>
      <c r="J148" s="184" t="str">
        <f ca="1">IF(ISERROR($V148),"",OFFSET('Smelter Look-up'!$I$4,$V148-4,0))</f>
        <v>Ibaraki</v>
      </c>
      <c r="K148" s="224"/>
      <c r="L148" s="224"/>
      <c r="M148" s="224"/>
      <c r="N148" s="224"/>
      <c r="O148" s="224"/>
      <c r="P148" s="185"/>
      <c r="Q148" s="225"/>
      <c r="R148" s="182" t="str">
        <f ca="1">IF(ISERROR($V148),"",OFFSET('Smelter Look-up'!$C$4,$V148-4,0)&amp;"")</f>
        <v>TANIOBIS Japan Co., Ltd.</v>
      </c>
      <c r="S148" s="181" t="str">
        <f t="shared" ca="1" si="20"/>
        <v>JP</v>
      </c>
      <c r="T148" s="181" t="str">
        <f ca="1">IF(B148="","",IF(ISERROR(MATCH($J148,SorP!$B$1:$B$6226,0)),"",INDIRECT("'SorP'!$A$"&amp;MATCH($S148&amp;$J148,SorP!C:C,0))))</f>
        <v>JP-08</v>
      </c>
      <c r="U148" s="201"/>
      <c r="V148" s="226">
        <f ca="1">IF(C148="",NA(),IF(OR(C148="Smelter not listed",C148="Smelter not yet identified"),MATCH($B148&amp;$D148,'Smelter Look-up'!$J:$J,0),MATCH($B148&amp;$C148,'Smelter Look-up'!$J:$J,0)))</f>
        <v>386</v>
      </c>
      <c r="X148" s="227">
        <f t="shared" ca="1" si="21"/>
        <v>0</v>
      </c>
      <c r="AB148" s="228" t="str">
        <f t="shared" ca="1" si="22"/>
        <v>TantalumTANIOBIS Japan Co., Ltd.</v>
      </c>
    </row>
    <row r="149" spans="1:28" s="227" customFormat="1" ht="20.399999999999999">
      <c r="A149" s="181" t="s">
        <v>1386</v>
      </c>
      <c r="B149" s="182" t="str">
        <f ca="1">IF(LEN(A149)=0,"",INDEX('Smelter Look-up'!$A:$A,MATCH($A149,'Smelter Look-up'!$E:$E,0)))</f>
        <v>Tantalum</v>
      </c>
      <c r="C149" s="186" t="str">
        <f ca="1">IF(LEN(A149)=0,"",INDEX('Smelter Look-up'!$C:$C,MATCH($A149,'Smelter Look-up'!$E:$E,0)))</f>
        <v>TANIOBIS Smelting GmbH &amp; Co. KG</v>
      </c>
      <c r="D149" s="230"/>
      <c r="E149" s="182" t="str">
        <f ca="1">IF(ISERROR($V149),"",OFFSET('Smelter Look-up'!$D$4,$V149-4,0)&amp;"")</f>
        <v>GERMANY</v>
      </c>
      <c r="F149" s="182" t="str">
        <f ca="1">IF(ISERROR($V149),"",OFFSET('Smelter Look-up'!$E$4,$V149-4,0))</f>
        <v>CID002550</v>
      </c>
      <c r="G149" s="182" t="str">
        <f ca="1">IF(C149=$X$4,IF(ISERROR($V149),"Enter smelter details","RMI"),IF(ISERROR($V149),"",OFFSET('Smelter Look-up'!$F$4,$V149-4,0)))</f>
        <v>RMI</v>
      </c>
      <c r="H149" s="183">
        <f ca="1">IF(ISERROR($V149),"",OFFSET('Smelter Look-up'!$G$4,$V149-4,0))</f>
        <v>0</v>
      </c>
      <c r="I149" s="184" t="str">
        <f ca="1">IF(ISERROR($V149),"",OFFSET('Smelter Look-up'!$H$4,$V149-4,0))</f>
        <v>Laufenburg</v>
      </c>
      <c r="J149" s="184" t="str">
        <f ca="1">IF(ISERROR($V149),"",OFFSET('Smelter Look-up'!$I$4,$V149-4,0))</f>
        <v>Baden-Württemberg</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 ca="1">IF(C149="",NA(),IF(OR(C149="Smelter not listed",C149="Smelter not yet identified"),MATCH($B149&amp;$D149,'Smelter Look-up'!$J:$J,0),MATCH($B149&amp;$C149,'Smelter Look-up'!$J:$J,0)))</f>
        <v>387</v>
      </c>
      <c r="X149" s="227">
        <f t="shared" ca="1" si="21"/>
        <v>0</v>
      </c>
      <c r="AB149" s="228" t="str">
        <f t="shared" ca="1" si="22"/>
        <v>TantalumTANIOBIS Smelting GmbH &amp; Co. KG</v>
      </c>
    </row>
    <row r="150" spans="1:28" s="227" customFormat="1" ht="20.399999999999999">
      <c r="A150" s="181" t="s">
        <v>1393</v>
      </c>
      <c r="B150" s="182" t="str">
        <f ca="1">IF(LEN(A150)=0,"",INDEX('Smelter Look-up'!$A:$A,MATCH($A150,'Smelter Look-up'!$E:$E,0)))</f>
        <v>Tungsten</v>
      </c>
      <c r="C150" s="186" t="str">
        <f ca="1">IF(LEN(A150)=0,"",INDEX('Smelter Look-up'!$C:$C,MATCH($A150,'Smelter Look-up'!$E:$E,0)))</f>
        <v>Jiangwu H.C. Starck Tungsten Products Co., Ltd.</v>
      </c>
      <c r="D150" s="230"/>
      <c r="E150" s="182" t="str">
        <f ca="1">IF(ISERROR($V150),"",OFFSET('Smelter Look-up'!$D$4,$V150-4,0)&amp;"")</f>
        <v>CHINA</v>
      </c>
      <c r="F150" s="182" t="str">
        <f ca="1">IF(ISERROR($V150),"",OFFSET('Smelter Look-up'!$E$4,$V150-4,0))</f>
        <v>CID002551</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c r="N150" s="224"/>
      <c r="O150" s="224"/>
      <c r="P150" s="185"/>
      <c r="Q150" s="225"/>
      <c r="R150" s="182" t="str">
        <f ca="1">IF(ISERROR($V150),"",OFFSET('Smelter Look-up'!$C$4,$V150-4,0)&amp;"")</f>
        <v>Jiangwu H.C. Starck Tungsten Products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592</v>
      </c>
      <c r="X150" s="227">
        <f t="shared" ca="1" si="21"/>
        <v>0</v>
      </c>
      <c r="AB150" s="228" t="str">
        <f t="shared" ca="1" si="22"/>
        <v>TungstenJiangwu H.C. Starck Tungsten Products Co., Ltd.</v>
      </c>
    </row>
    <row r="151" spans="1:28" s="227" customFormat="1" ht="20.399999999999999">
      <c r="A151" s="181" t="s">
        <v>1378</v>
      </c>
      <c r="B151" s="182" t="str">
        <f ca="1">IF(LEN(A151)=0,"",INDEX('Smelter Look-up'!$A:$A,MATCH($A151,'Smelter Look-up'!$E:$E,0)))</f>
        <v>Tantalum</v>
      </c>
      <c r="C151" s="186" t="str">
        <f ca="1">IF(LEN(A151)=0,"",INDEX('Smelter Look-up'!$C:$C,MATCH($A151,'Smelter Look-up'!$E:$E,0)))</f>
        <v>Global Advanced Metals Boyertown</v>
      </c>
      <c r="D151" s="230"/>
      <c r="E151" s="182" t="str">
        <f ca="1">IF(ISERROR($V151),"",OFFSET('Smelter Look-up'!$D$4,$V151-4,0)&amp;"")</f>
        <v>UNITED STATES OF AMERICA</v>
      </c>
      <c r="F151" s="182" t="str">
        <f ca="1">IF(ISERROR($V151),"",OFFSET('Smelter Look-up'!$E$4,$V151-4,0))</f>
        <v>CID002557</v>
      </c>
      <c r="G151" s="182" t="str">
        <f ca="1">IF(C151=$X$4,IF(ISERROR($V151),"Enter smelter details","RMI"),IF(ISERROR($V151),"",OFFSET('Smelter Look-up'!$F$4,$V151-4,0)))</f>
        <v>RMI</v>
      </c>
      <c r="H151" s="183">
        <f ca="1">IF(ISERROR($V151),"",OFFSET('Smelter Look-up'!$G$4,$V151-4,0))</f>
        <v>0</v>
      </c>
      <c r="I151" s="184" t="str">
        <f ca="1">IF(ISERROR($V151),"",OFFSET('Smelter Look-up'!$H$4,$V151-4,0))</f>
        <v>Boyertown</v>
      </c>
      <c r="J151" s="184" t="str">
        <f ca="1">IF(ISERROR($V151),"",OFFSET('Smelter Look-up'!$I$4,$V151-4,0))</f>
        <v>Pennsylvania</v>
      </c>
      <c r="K151" s="224"/>
      <c r="L151" s="224"/>
      <c r="M151" s="224"/>
      <c r="N151" s="224"/>
      <c r="O151" s="224"/>
      <c r="P151" s="185"/>
      <c r="Q151" s="225"/>
      <c r="R151" s="182" t="str">
        <f ca="1">IF(ISERROR($V151),"",OFFSET('Smelter Look-up'!$C$4,$V151-4,0)&amp;"")</f>
        <v>Global Advanced Metals Boyertown</v>
      </c>
      <c r="S151" s="181" t="str">
        <f t="shared" ca="1" si="20"/>
        <v>US</v>
      </c>
      <c r="T151" s="181" t="str">
        <f ca="1">IF(B151="","",IF(ISERROR(MATCH($J151,SorP!$B$1:$B$6226,0)),"",INDIRECT("'SorP'!$A$"&amp;MATCH($S151&amp;$J151,SorP!C:C,0))))</f>
        <v>US-PA</v>
      </c>
      <c r="U151" s="201"/>
      <c r="V151" s="226">
        <f ca="1">IF(C151="",NA(),IF(OR(C151="Smelter not listed",C151="Smelter not yet identified"),MATCH($B151&amp;$D151,'Smelter Look-up'!$J:$J,0),MATCH($B151&amp;$C151,'Smelter Look-up'!$J:$J,0)))</f>
        <v>340</v>
      </c>
      <c r="X151" s="227">
        <f t="shared" ca="1" si="21"/>
        <v>0</v>
      </c>
      <c r="AB151" s="228" t="str">
        <f t="shared" ca="1" si="22"/>
        <v>TantalumGlobal Advanced Metals Boyertown</v>
      </c>
    </row>
    <row r="152" spans="1:28" s="227" customFormat="1" ht="20.399999999999999">
      <c r="A152" s="181" t="s">
        <v>1376</v>
      </c>
      <c r="B152" s="182" t="str">
        <f ca="1">IF(LEN(A152)=0,"",INDEX('Smelter Look-up'!$A:$A,MATCH($A152,'Smelter Look-up'!$E:$E,0)))</f>
        <v>Tantalum</v>
      </c>
      <c r="C152" s="186" t="str">
        <f ca="1">IF(LEN(A152)=0,"",INDEX('Smelter Look-up'!$C:$C,MATCH($A152,'Smelter Look-up'!$E:$E,0)))</f>
        <v>Global Advanced Metals Aizu</v>
      </c>
      <c r="D152" s="230"/>
      <c r="E152" s="182" t="str">
        <f ca="1">IF(ISERROR($V152),"",OFFSET('Smelter Look-up'!$D$4,$V152-4,0)&amp;"")</f>
        <v>JAPAN</v>
      </c>
      <c r="F152" s="182" t="str">
        <f ca="1">IF(ISERROR($V152),"",OFFSET('Smelter Look-up'!$E$4,$V152-4,0))</f>
        <v>CID002558</v>
      </c>
      <c r="G152" s="182" t="str">
        <f ca="1">IF(C152=$X$4,IF(ISERROR($V152),"Enter smelter details","RMI"),IF(ISERROR($V152),"",OFFSET('Smelter Look-up'!$F$4,$V152-4,0)))</f>
        <v>RMI</v>
      </c>
      <c r="H152" s="183">
        <f ca="1">IF(ISERROR($V152),"",OFFSET('Smelter Look-up'!$G$4,$V152-4,0))</f>
        <v>0</v>
      </c>
      <c r="I152" s="184" t="str">
        <f ca="1">IF(ISERROR($V152),"",OFFSET('Smelter Look-up'!$H$4,$V152-4,0))</f>
        <v>Aizuwakamatsu</v>
      </c>
      <c r="J152" s="184" t="str">
        <f ca="1">IF(ISERROR($V152),"",OFFSET('Smelter Look-up'!$I$4,$V152-4,0))</f>
        <v>Fukushima</v>
      </c>
      <c r="K152" s="224"/>
      <c r="L152" s="224"/>
      <c r="M152" s="224"/>
      <c r="N152" s="224"/>
      <c r="O152" s="224"/>
      <c r="P152" s="185"/>
      <c r="Q152" s="225"/>
      <c r="R152" s="182" t="str">
        <f ca="1">IF(ISERROR($V152),"",OFFSET('Smelter Look-up'!$C$4,$V152-4,0)&amp;"")</f>
        <v>Global Advanced Metals Aizu</v>
      </c>
      <c r="S152" s="181" t="str">
        <f t="shared" ca="1" si="20"/>
        <v>JP</v>
      </c>
      <c r="T152" s="181" t="str">
        <f ca="1">IF(B152="","",IF(ISERROR(MATCH($J152,SorP!$B$1:$B$6226,0)),"",INDIRECT("'SorP'!$A$"&amp;MATCH($S152&amp;$J152,SorP!C:C,0))))</f>
        <v>JP-07</v>
      </c>
      <c r="U152" s="201"/>
      <c r="V152" s="226">
        <f ca="1">IF(C152="",NA(),IF(OR(C152="Smelter not listed",C152="Smelter not yet identified"),MATCH($B152&amp;$D152,'Smelter Look-up'!$J:$J,0),MATCH($B152&amp;$C152,'Smelter Look-up'!$J:$J,0)))</f>
        <v>339</v>
      </c>
      <c r="X152" s="227">
        <f t="shared" ca="1" si="21"/>
        <v>0</v>
      </c>
      <c r="AB152" s="228" t="str">
        <f t="shared" ca="1" si="22"/>
        <v>TantalumGlobal Advanced Metals Aizu</v>
      </c>
    </row>
    <row r="153" spans="1:28" s="227" customFormat="1" ht="20.399999999999999">
      <c r="A153" s="181" t="s">
        <v>15818</v>
      </c>
      <c r="B153" s="182" t="e">
        <f ca="1">IF(LEN(A153)=0,"",INDEX('Smelter Look-up'!$A:$A,MATCH($A153,'Smelter Look-up'!$E:$E,0)))</f>
        <v>#N/A</v>
      </c>
      <c r="C153" s="186" t="e">
        <f ca="1">IF(LEN(A153)=0,"",INDEX('Smelter Look-up'!$C:$C,MATCH($A153,'Smelter Look-up'!$E:$E,0)))</f>
        <v>#N/A</v>
      </c>
      <c r="D153" s="230"/>
      <c r="E153" s="182" t="str">
        <f ca="1">IF(ISERROR($V153),"",OFFSET('Smelter Look-up'!$D$4,$V153-4,0)&amp;"")</f>
        <v/>
      </c>
      <c r="F153" s="182" t="str">
        <f ca="1">IF(ISERROR($V153),"",OFFSET('Smelter Look-up'!$E$4,$V153-4,0))</f>
        <v/>
      </c>
      <c r="G153" s="182" t="e">
        <f ca="1">IF(C153=$X$4,IF(ISERROR($V153),"Enter smelter details","RMI"),IF(ISERROR($V153),"",OFFSET('Smelter Look-up'!$F$4,$V153-4,0)))</f>
        <v>#N/A</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e">
        <f t="shared" ca="1" si="20"/>
        <v>#N/A</v>
      </c>
      <c r="T153" s="181" t="e">
        <f ca="1">IF(B153="","",IF(ISERROR(MATCH($J153,SorP!$B$1:$B$6226,0)),"",INDIRECT("'SorP'!$A$"&amp;MATCH($S153&amp;$J153,SorP!C:C,0))))</f>
        <v>#N/A</v>
      </c>
      <c r="U153" s="201"/>
      <c r="V153" s="226" t="e">
        <f ca="1">IF(C153="",NA(),IF(OR(C153="Smelter not listed",C153="Smelter not yet identified"),MATCH($B153&amp;$D153,'Smelter Look-up'!$J:$J,0),MATCH($B153&amp;$C153,'Smelter Look-up'!$J:$J,0)))</f>
        <v>#N/A</v>
      </c>
      <c r="X153" s="227" t="e">
        <f t="shared" ca="1" si="21"/>
        <v>#N/A</v>
      </c>
      <c r="AB153" s="228" t="e">
        <f t="shared" ca="1" si="22"/>
        <v>#N/A</v>
      </c>
    </row>
    <row r="154" spans="1:28" s="227" customFormat="1" ht="20.399999999999999">
      <c r="A154" s="181" t="s">
        <v>1676</v>
      </c>
      <c r="B154" s="182" t="str">
        <f ca="1">IF(LEN(A154)=0,"",INDEX('Smelter Look-up'!$A:$A,MATCH($A154,'Smelter Look-up'!$E:$E,0)))</f>
        <v>Gold</v>
      </c>
      <c r="C154" s="186" t="str">
        <f ca="1">IF(LEN(A154)=0,"",INDEX('Smelter Look-up'!$C:$C,MATCH($A154,'Smelter Look-up'!$E:$E,0)))</f>
        <v>T.C.A S.p.A</v>
      </c>
      <c r="D154" s="230"/>
      <c r="E154" s="182" t="str">
        <f ca="1">IF(ISERROR($V154),"",OFFSET('Smelter Look-up'!$D$4,$V154-4,0)&amp;"")</f>
        <v>ITALY</v>
      </c>
      <c r="F154" s="182" t="str">
        <f ca="1">IF(ISERROR($V154),"",OFFSET('Smelter Look-up'!$E$4,$V154-4,0))</f>
        <v>CID002580</v>
      </c>
      <c r="G154" s="182" t="str">
        <f ca="1">IF(C154=$X$4,IF(ISERROR($V154),"Enter smelter details","RMI"),IF(ISERROR($V154),"",OFFSET('Smelter Look-up'!$F$4,$V154-4,0)))</f>
        <v>RMI</v>
      </c>
      <c r="H154" s="183">
        <f ca="1">IF(ISERROR($V154),"",OFFSET('Smelter Look-up'!$G$4,$V154-4,0))</f>
        <v>0</v>
      </c>
      <c r="I154" s="184" t="str">
        <f ca="1">IF(ISERROR($V154),"",OFFSET('Smelter Look-up'!$H$4,$V154-4,0))</f>
        <v>Capolona</v>
      </c>
      <c r="J154" s="184" t="str">
        <f ca="1">IF(ISERROR($V154),"",OFFSET('Smelter Look-up'!$I$4,$V154-4,0))</f>
        <v>Toscana</v>
      </c>
      <c r="K154" s="224"/>
      <c r="L154" s="224"/>
      <c r="M154" s="224"/>
      <c r="N154" s="224"/>
      <c r="O154" s="224"/>
      <c r="P154" s="185"/>
      <c r="Q154" s="225"/>
      <c r="R154" s="182" t="str">
        <f ca="1">IF(ISERROR($V154),"",OFFSET('Smelter Look-up'!$C$4,$V154-4,0)&amp;"")</f>
        <v>T.C.A S.p.A</v>
      </c>
      <c r="S154" s="181" t="str">
        <f t="shared" ca="1" si="20"/>
        <v>IT</v>
      </c>
      <c r="T154" s="181" t="str">
        <f ca="1">IF(B154="","",IF(ISERROR(MATCH($J154,SorP!$B$1:$B$6226,0)),"",INDIRECT("'SorP'!$A$"&amp;MATCH($S154&amp;$J154,SorP!C:C,0))))</f>
        <v>IT-52</v>
      </c>
      <c r="U154" s="201"/>
      <c r="V154" s="226">
        <f ca="1">IF(C154="",NA(),IF(OR(C154="Smelter not listed",C154="Smelter not yet identified"),MATCH($B154&amp;$D154,'Smelter Look-up'!$J:$J,0),MATCH($B154&amp;$C154,'Smelter Look-up'!$J:$J,0)))</f>
        <v>278</v>
      </c>
      <c r="X154" s="227">
        <f t="shared" ca="1" si="21"/>
        <v>0</v>
      </c>
      <c r="AB154" s="228" t="str">
        <f t="shared" ca="1" si="22"/>
        <v>GoldT.C.A S.p.A</v>
      </c>
    </row>
    <row r="155" spans="1:28" s="227" customFormat="1" ht="20.399999999999999">
      <c r="A155" s="181" t="s">
        <v>2268</v>
      </c>
      <c r="B155" s="182" t="str">
        <f ca="1">IF(LEN(A155)=0,"",INDEX('Smelter Look-up'!$A:$A,MATCH($A155,'Smelter Look-up'!$E:$E,0)))</f>
        <v>Gold</v>
      </c>
      <c r="C155" s="186" t="str">
        <f ca="1">IF(LEN(A155)=0,"",INDEX('Smelter Look-up'!$C:$C,MATCH($A155,'Smelter Look-up'!$E:$E,0)))</f>
        <v>REMONDIS PMR B.V.</v>
      </c>
      <c r="D155" s="230"/>
      <c r="E155" s="182" t="str">
        <f ca="1">IF(ISERROR($V155),"",OFFSET('Smelter Look-up'!$D$4,$V155-4,0)&amp;"")</f>
        <v>NETHERLANDS</v>
      </c>
      <c r="F155" s="182" t="str">
        <f ca="1">IF(ISERROR($V155),"",OFFSET('Smelter Look-up'!$E$4,$V155-4,0))</f>
        <v>CID002582</v>
      </c>
      <c r="G155" s="182" t="str">
        <f ca="1">IF(C155=$X$4,IF(ISERROR($V155),"Enter smelter details","RMI"),IF(ISERROR($V155),"",OFFSET('Smelter Look-up'!$F$4,$V155-4,0)))</f>
        <v>RMI</v>
      </c>
      <c r="H155" s="183">
        <f ca="1">IF(ISERROR($V155),"",OFFSET('Smelter Look-up'!$G$4,$V155-4,0))</f>
        <v>0</v>
      </c>
      <c r="I155" s="184" t="str">
        <f ca="1">IF(ISERROR($V155),"",OFFSET('Smelter Look-up'!$H$4,$V155-4,0))</f>
        <v>Moerdijk</v>
      </c>
      <c r="J155" s="184" t="str">
        <f ca="1">IF(ISERROR($V155),"",OFFSET('Smelter Look-up'!$I$4,$V155-4,0))</f>
        <v>Noord-Brabant</v>
      </c>
      <c r="K155" s="224"/>
      <c r="L155" s="224"/>
      <c r="M155" s="224"/>
      <c r="N155" s="224"/>
      <c r="O155" s="224"/>
      <c r="P155" s="185"/>
      <c r="Q155" s="225"/>
      <c r="R155" s="182" t="str">
        <f ca="1">IF(ISERROR($V155),"",OFFSET('Smelter Look-up'!$C$4,$V155-4,0)&amp;"")</f>
        <v>REMONDIS PMR B.V.</v>
      </c>
      <c r="S155" s="181" t="str">
        <f t="shared" ca="1" si="20"/>
        <v>NL</v>
      </c>
      <c r="T155" s="181" t="str">
        <f ca="1">IF(B155="","",IF(ISERROR(MATCH($J155,SorP!$B$1:$B$6226,0)),"",INDIRECT("'SorP'!$A$"&amp;MATCH($S155&amp;$J155,SorP!C:C,0))))</f>
        <v>NL-NB</v>
      </c>
      <c r="U155" s="201"/>
      <c r="V155" s="226">
        <f ca="1">IF(C155="",NA(),IF(OR(C155="Smelter not listed",C155="Smelter not yet identified"),MATCH($B155&amp;$D155,'Smelter Look-up'!$J:$J,0),MATCH($B155&amp;$C155,'Smelter Look-up'!$J:$J,0)))</f>
        <v>228</v>
      </c>
      <c r="X155" s="227">
        <f t="shared" ca="1" si="21"/>
        <v>0</v>
      </c>
      <c r="AB155" s="228" t="str">
        <f t="shared" ca="1" si="22"/>
        <v>GoldREMONDIS PMR B.V.</v>
      </c>
    </row>
    <row r="156" spans="1:28" s="227" customFormat="1" ht="20.399999999999999">
      <c r="A156" s="181" t="s">
        <v>1796</v>
      </c>
      <c r="B156" s="182" t="str">
        <f ca="1">IF(LEN(A156)=0,"",INDEX('Smelter Look-up'!$A:$A,MATCH($A156,'Smelter Look-up'!$E:$E,0)))</f>
        <v>Tungsten</v>
      </c>
      <c r="C156" s="186" t="str">
        <f ca="1">IF(LEN(A156)=0,"",INDEX('Smelter Look-up'!$C:$C,MATCH($A156,'Smelter Look-up'!$E:$E,0)))</f>
        <v>Niagara Refining LLC</v>
      </c>
      <c r="D156" s="230"/>
      <c r="E156" s="182" t="str">
        <f ca="1">IF(ISERROR($V156),"",OFFSET('Smelter Look-up'!$D$4,$V156-4,0)&amp;"")</f>
        <v>UNITED STATES OF AMERICA</v>
      </c>
      <c r="F156" s="182" t="str">
        <f ca="1">IF(ISERROR($V156),"",OFFSET('Smelter Look-up'!$E$4,$V156-4,0))</f>
        <v>CID002589</v>
      </c>
      <c r="G156" s="182" t="str">
        <f ca="1">IF(C156=$X$4,IF(ISERROR($V156),"Enter smelter details","RMI"),IF(ISERROR($V156),"",OFFSET('Smelter Look-up'!$F$4,$V156-4,0)))</f>
        <v>RMI</v>
      </c>
      <c r="H156" s="183">
        <f ca="1">IF(ISERROR($V156),"",OFFSET('Smelter Look-up'!$G$4,$V156-4,0))</f>
        <v>0</v>
      </c>
      <c r="I156" s="184" t="str">
        <f ca="1">IF(ISERROR($V156),"",OFFSET('Smelter Look-up'!$H$4,$V156-4,0))</f>
        <v>Depew</v>
      </c>
      <c r="J156" s="184" t="str">
        <f ca="1">IF(ISERROR($V156),"",OFFSET('Smelter Look-up'!$I$4,$V156-4,0))</f>
        <v>New York</v>
      </c>
      <c r="K156" s="224"/>
      <c r="L156" s="224"/>
      <c r="M156" s="224"/>
      <c r="N156" s="224"/>
      <c r="O156" s="224"/>
      <c r="P156" s="185"/>
      <c r="Q156" s="225"/>
      <c r="R156" s="182" t="str">
        <f ca="1">IF(ISERROR($V156),"",OFFSET('Smelter Look-up'!$C$4,$V156-4,0)&amp;"")</f>
        <v>Niagara Refining LLC</v>
      </c>
      <c r="S156" s="181" t="str">
        <f t="shared" ca="1" si="20"/>
        <v>US</v>
      </c>
      <c r="T156" s="181" t="str">
        <f ca="1">IF(B156="","",IF(ISERROR(MATCH($J156,SorP!$B$1:$B$6226,0)),"",INDIRECT("'SorP'!$A$"&amp;MATCH($S156&amp;$J156,SorP!C:C,0))))</f>
        <v>US-NY</v>
      </c>
      <c r="U156" s="201"/>
      <c r="V156" s="226">
        <f ca="1">IF(C156="",NA(),IF(OR(C156="Smelter not listed",C156="Smelter not yet identified"),MATCH($B156&amp;$D156,'Smelter Look-up'!$J:$J,0),MATCH($B156&amp;$C156,'Smelter Look-up'!$J:$J,0)))</f>
        <v>616</v>
      </c>
      <c r="X156" s="227">
        <f t="shared" ca="1" si="21"/>
        <v>0</v>
      </c>
      <c r="AB156" s="228" t="str">
        <f t="shared" ca="1" si="22"/>
        <v>TungstenNiagara Refining LLC</v>
      </c>
    </row>
    <row r="157" spans="1:28" s="227" customFormat="1" ht="20.399999999999999">
      <c r="A157" s="181" t="s">
        <v>15625</v>
      </c>
      <c r="B157" s="182" t="str">
        <f ca="1">IF(LEN(A157)=0,"",INDEX('Smelter Look-up'!$A:$A,MATCH($A157,'Smelter Look-up'!$E:$E,0)))</f>
        <v>Tin</v>
      </c>
      <c r="C157" s="186" t="str">
        <f ca="1">IF(LEN(A157)=0,"",INDEX('Smelter Look-up'!$C:$C,MATCH($A157,'Smelter Look-up'!$E:$E,0)))</f>
        <v>PT Rajehan Ariq</v>
      </c>
      <c r="D157" s="230"/>
      <c r="E157" s="182" t="str">
        <f ca="1">IF(ISERROR($V157),"",OFFSET('Smelter Look-up'!$D$4,$V157-4,0)&amp;"")</f>
        <v>INDONESIA</v>
      </c>
      <c r="F157" s="182" t="str">
        <f ca="1">IF(ISERROR($V157),"",OFFSET('Smelter Look-up'!$E$4,$V157-4,0))</f>
        <v>CID002593</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Rajehan Ariq</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507</v>
      </c>
      <c r="X157" s="227">
        <f t="shared" ca="1" si="21"/>
        <v>0</v>
      </c>
      <c r="AB157" s="228" t="str">
        <f t="shared" ca="1" si="22"/>
        <v>TinPT Rajehan Ariq</v>
      </c>
    </row>
    <row r="158" spans="1:28" s="227" customFormat="1" ht="20.399999999999999">
      <c r="A158" s="181" t="s">
        <v>1678</v>
      </c>
      <c r="B158" s="182" t="str">
        <f ca="1">IF(LEN(A158)=0,"",INDEX('Smelter Look-up'!$A:$A,MATCH($A158,'Smelter Look-up'!$E:$E,0)))</f>
        <v>Gold</v>
      </c>
      <c r="C158" s="186" t="str">
        <f ca="1">IF(LEN(A158)=0,"",INDEX('Smelter Look-up'!$C:$C,MATCH($A158,'Smelter Look-up'!$E:$E,0)))</f>
        <v>Korea Zinc Co., Ltd.</v>
      </c>
      <c r="D158" s="230"/>
      <c r="E158" s="182" t="str">
        <f ca="1">IF(ISERROR($V158),"",OFFSET('Smelter Look-up'!$D$4,$V158-4,0)&amp;"")</f>
        <v>KOREA, REPUBLIC OF</v>
      </c>
      <c r="F158" s="182" t="str">
        <f ca="1">IF(ISERROR($V158),"",OFFSET('Smelter Look-up'!$E$4,$V158-4,0))</f>
        <v>CID002605</v>
      </c>
      <c r="G158" s="182" t="str">
        <f ca="1">IF(C158=$X$4,IF(ISERROR($V158),"Enter smelter details","RMI"),IF(ISERROR($V158),"",OFFSET('Smelter Look-up'!$F$4,$V158-4,0)))</f>
        <v>RMI</v>
      </c>
      <c r="H158" s="183">
        <f ca="1">IF(ISERROR($V158),"",OFFSET('Smelter Look-up'!$G$4,$V158-4,0))</f>
        <v>0</v>
      </c>
      <c r="I158" s="184" t="str">
        <f ca="1">IF(ISERROR($V158),"",OFFSET('Smelter Look-up'!$H$4,$V158-4,0))</f>
        <v>Seoul</v>
      </c>
      <c r="J158" s="184" t="str">
        <f ca="1">IF(ISERROR($V158),"",OFFSET('Smelter Look-up'!$I$4,$V158-4,0))</f>
        <v>Seoul-teukbyeolsi</v>
      </c>
      <c r="K158" s="224"/>
      <c r="L158" s="224"/>
      <c r="M158" s="224"/>
      <c r="N158" s="224"/>
      <c r="O158" s="224"/>
      <c r="P158" s="185"/>
      <c r="Q158" s="225"/>
      <c r="R158" s="182" t="str">
        <f ca="1">IF(ISERROR($V158),"",OFFSET('Smelter Look-up'!$C$4,$V158-4,0)&amp;"")</f>
        <v>Korea Zinc Co., Ltd.</v>
      </c>
      <c r="S158" s="181" t="str">
        <f t="shared" ca="1" si="20"/>
        <v>KR</v>
      </c>
      <c r="T158" s="181" t="str">
        <f ca="1">IF(B158="","",IF(ISERROR(MATCH($J158,SorP!$B$1:$B$6226,0)),"",INDIRECT("'SorP'!$A$"&amp;MATCH($S158&amp;$J158,SorP!C:C,0))))</f>
        <v>KR-11</v>
      </c>
      <c r="U158" s="201"/>
      <c r="V158" s="226">
        <f ca="1">IF(C158="",NA(),IF(OR(C158="Smelter not listed",C158="Smelter not yet identified"),MATCH($B158&amp;$D158,'Smelter Look-up'!$J:$J,0),MATCH($B158&amp;$C158,'Smelter Look-up'!$J:$J,0)))</f>
        <v>150</v>
      </c>
      <c r="X158" s="227">
        <f t="shared" ca="1" si="21"/>
        <v>0</v>
      </c>
      <c r="AB158" s="228" t="str">
        <f t="shared" ca="1" si="22"/>
        <v>GoldKorea Zinc Co., Ltd.</v>
      </c>
    </row>
    <row r="159" spans="1:28" s="227" customFormat="1" ht="20.399999999999999">
      <c r="A159" s="181" t="s">
        <v>2280</v>
      </c>
      <c r="B159" s="182" t="str">
        <f ca="1">IF(LEN(A159)=0,"",INDEX('Smelter Look-up'!$A:$A,MATCH($A159,'Smelter Look-up'!$E:$E,0)))</f>
        <v>Gold</v>
      </c>
      <c r="C159" s="186" t="str">
        <f ca="1">IF(LEN(A159)=0,"",INDEX('Smelter Look-up'!$C:$C,MATCH($A159,'Smelter Look-up'!$E:$E,0)))</f>
        <v>TOO Tau-Ken-Altyn</v>
      </c>
      <c r="D159" s="230"/>
      <c r="E159" s="182" t="str">
        <f ca="1">IF(ISERROR($V159),"",OFFSET('Smelter Look-up'!$D$4,$V159-4,0)&amp;"")</f>
        <v>KAZAKHSTAN</v>
      </c>
      <c r="F159" s="182" t="str">
        <f ca="1">IF(ISERROR($V159),"",OFFSET('Smelter Look-up'!$E$4,$V159-4,0))</f>
        <v>CID002615</v>
      </c>
      <c r="G159" s="182" t="str">
        <f ca="1">IF(C159=$X$4,IF(ISERROR($V159),"Enter smelter details","RMI"),IF(ISERROR($V159),"",OFFSET('Smelter Look-up'!$F$4,$V159-4,0)))</f>
        <v>RMI</v>
      </c>
      <c r="H159" s="183">
        <f ca="1">IF(ISERROR($V159),"",OFFSET('Smelter Look-up'!$G$4,$V159-4,0))</f>
        <v>0</v>
      </c>
      <c r="I159" s="184" t="str">
        <f ca="1">IF(ISERROR($V159),"",OFFSET('Smelter Look-up'!$H$4,$V159-4,0))</f>
        <v>Astana</v>
      </c>
      <c r="J159" s="184" t="str">
        <f ca="1">IF(ISERROR($V159),"",OFFSET('Smelter Look-up'!$I$4,$V159-4,0))</f>
        <v>Almaty</v>
      </c>
      <c r="K159" s="224"/>
      <c r="L159" s="224"/>
      <c r="M159" s="224"/>
      <c r="N159" s="224"/>
      <c r="O159" s="224"/>
      <c r="P159" s="185"/>
      <c r="Q159" s="225"/>
      <c r="R159" s="182" t="str">
        <f ca="1">IF(ISERROR($V159),"",OFFSET('Smelter Look-up'!$C$4,$V159-4,0)&amp;"")</f>
        <v>TOO Tau-Ken-Altyn</v>
      </c>
      <c r="S159" s="181" t="str">
        <f t="shared" ca="1" si="20"/>
        <v>KZ</v>
      </c>
      <c r="T159" s="181" t="str">
        <f ca="1">IF(B159="","",IF(ISERROR(MATCH($J159,SorP!$B$1:$B$6226,0)),"",INDIRECT("'SorP'!$A$"&amp;MATCH($S159&amp;$J159,SorP!C:C,0))))</f>
        <v>KZ-ALA</v>
      </c>
      <c r="U159" s="201"/>
      <c r="V159" s="226">
        <f ca="1">IF(C159="",NA(),IF(OR(C159="Smelter not listed",C159="Smelter not yet identified"),MATCH($B159&amp;$D159,'Smelter Look-up'!$J:$J,0),MATCH($B159&amp;$C159,'Smelter Look-up'!$J:$J,0)))</f>
        <v>297</v>
      </c>
      <c r="X159" s="227">
        <f t="shared" ca="1" si="21"/>
        <v>0</v>
      </c>
      <c r="AB159" s="228" t="str">
        <f t="shared" ca="1" si="22"/>
        <v>GoldTOO Tau-Ken-Altyn</v>
      </c>
    </row>
    <row r="160" spans="1:28" s="227" customFormat="1" ht="20.399999999999999">
      <c r="A160" s="181" t="s">
        <v>13724</v>
      </c>
      <c r="B160" s="182" t="str">
        <f ca="1">IF(LEN(A160)=0,"",INDEX('Smelter Look-up'!$A:$A,MATCH($A160,'Smelter Look-up'!$E:$E,0)))</f>
        <v>Tungsten</v>
      </c>
      <c r="C160" s="186" t="str">
        <f ca="1">IF(LEN(A160)=0,"",INDEX('Smelter Look-up'!$C:$C,MATCH($A160,'Smelter Look-up'!$E:$E,0)))</f>
        <v>China Molybdenum Tungsten Co., Ltd.</v>
      </c>
      <c r="D160" s="230"/>
      <c r="E160" s="182" t="str">
        <f ca="1">IF(ISERROR($V160),"",OFFSET('Smelter Look-up'!$D$4,$V160-4,0)&amp;"")</f>
        <v>CHINA</v>
      </c>
      <c r="F160" s="182" t="str">
        <f ca="1">IF(ISERROR($V160),"",OFFSET('Smelter Look-up'!$E$4,$V160-4,0))</f>
        <v>CID002641</v>
      </c>
      <c r="G160" s="182" t="str">
        <f ca="1">IF(C160=$X$4,IF(ISERROR($V160),"Enter smelter details","RMI"),IF(ISERROR($V160),"",OFFSET('Smelter Look-up'!$F$4,$V160-4,0)))</f>
        <v>RMI</v>
      </c>
      <c r="H160" s="183">
        <f ca="1">IF(ISERROR($V160),"",OFFSET('Smelter Look-up'!$G$4,$V160-4,0))</f>
        <v>0</v>
      </c>
      <c r="I160" s="184" t="str">
        <f ca="1">IF(ISERROR($V160),"",OFFSET('Smelter Look-up'!$H$4,$V160-4,0))</f>
        <v>Luoyang</v>
      </c>
      <c r="J160" s="184" t="str">
        <f ca="1">IF(ISERROR($V160),"",OFFSET('Smelter Look-up'!$I$4,$V160-4,0))</f>
        <v>Henan Sheng</v>
      </c>
      <c r="K160" s="224"/>
      <c r="L160" s="224"/>
      <c r="M160" s="224"/>
      <c r="N160" s="224"/>
      <c r="O160" s="224"/>
      <c r="P160" s="185"/>
      <c r="Q160" s="225"/>
      <c r="R160" s="182" t="str">
        <f ca="1">IF(ISERROR($V160),"",OFFSET('Smelter Look-up'!$C$4,$V160-4,0)&amp;"")</f>
        <v>China Molybdenum Tungsten Co., Ltd.</v>
      </c>
      <c r="S160" s="181" t="str">
        <f t="shared" ca="1" si="20"/>
        <v>CN</v>
      </c>
      <c r="T160" s="181" t="str">
        <f ca="1">IF(B160="","",IF(ISERROR(MATCH($J160,SorP!$B$1:$B$6226,0)),"",INDIRECT("'SorP'!$A$"&amp;MATCH($S160&amp;$J160,SorP!C:C,0))))</f>
        <v>CN-HA</v>
      </c>
      <c r="U160" s="201"/>
      <c r="V160" s="226">
        <f ca="1">IF(C160="",NA(),IF(OR(C160="Smelter not listed",C160="Smelter not yet identified"),MATCH($B160&amp;$D160,'Smelter Look-up'!$J:$J,0),MATCH($B160&amp;$C160,'Smelter Look-up'!$J:$J,0)))</f>
        <v>567</v>
      </c>
      <c r="X160" s="227">
        <f t="shared" ca="1" si="21"/>
        <v>0</v>
      </c>
      <c r="AB160" s="228" t="str">
        <f t="shared" ca="1" si="22"/>
        <v>TungstenChina Molybdenum Tungsten Co., Ltd.</v>
      </c>
    </row>
    <row r="161" spans="1:28" s="227" customFormat="1" ht="20.399999999999999">
      <c r="A161" s="181" t="s">
        <v>15307</v>
      </c>
      <c r="B161" s="182" t="str">
        <f ca="1">IF(LEN(A161)=0,"",INDEX('Smelter Look-up'!$A:$A,MATCH($A161,'Smelter Look-up'!$E:$E,0)))</f>
        <v>Tin</v>
      </c>
      <c r="C161" s="186" t="str">
        <f ca="1">IF(LEN(A161)=0,"",INDEX('Smelter Look-up'!$C:$C,MATCH($A161,'Smelter Look-up'!$E:$E,0)))</f>
        <v>PT Cipta Persada Mulia</v>
      </c>
      <c r="D161" s="230"/>
      <c r="E161" s="182" t="str">
        <f ca="1">IF(ISERROR($V161),"",OFFSET('Smelter Look-up'!$D$4,$V161-4,0)&amp;"")</f>
        <v>INDONESIA</v>
      </c>
      <c r="F161" s="182" t="str">
        <f ca="1">IF(ISERROR($V161),"",OFFSET('Smelter Look-up'!$E$4,$V161-4,0))</f>
        <v>CID002696</v>
      </c>
      <c r="G161" s="182" t="str">
        <f ca="1">IF(C161=$X$4,IF(ISERROR($V161),"Enter smelter details","RMI"),IF(ISERROR($V161),"",OFFSET('Smelter Look-up'!$F$4,$V161-4,0)))</f>
        <v>RMI</v>
      </c>
      <c r="H161" s="183">
        <f ca="1">IF(ISERROR($V161),"",OFFSET('Smelter Look-up'!$G$4,$V161-4,0))</f>
        <v>0</v>
      </c>
      <c r="I161" s="184" t="str">
        <f ca="1">IF(ISERROR($V161),"",OFFSET('Smelter Look-up'!$H$4,$V161-4,0))</f>
        <v>Batam</v>
      </c>
      <c r="J161" s="184" t="str">
        <f ca="1">IF(ISERROR($V161),"",OFFSET('Smelter Look-up'!$I$4,$V161-4,0))</f>
        <v>Kepulauan Riau</v>
      </c>
      <c r="K161" s="224"/>
      <c r="L161" s="224"/>
      <c r="M161" s="224"/>
      <c r="N161" s="224"/>
      <c r="O161" s="224"/>
      <c r="P161" s="185"/>
      <c r="Q161" s="225"/>
      <c r="R161" s="182" t="str">
        <f ca="1">IF(ISERROR($V161),"",OFFSET('Smelter Look-up'!$C$4,$V161-4,0)&amp;"")</f>
        <v>PT Cipta Persada Mulia</v>
      </c>
      <c r="S161" s="181" t="str">
        <f t="shared" ca="1" si="20"/>
        <v>ID</v>
      </c>
      <c r="T161" s="181" t="str">
        <f ca="1">IF(B161="","",IF(ISERROR(MATCH($J161,SorP!$B$1:$B$6226,0)),"",INDIRECT("'SorP'!$A$"&amp;MATCH($S161&amp;$J161,SorP!C:C,0))))</f>
        <v>ID-KR</v>
      </c>
      <c r="U161" s="201"/>
      <c r="V161" s="226">
        <f ca="1">IF(C161="",NA(),IF(OR(C161="Smelter not listed",C161="Smelter not yet identified"),MATCH($B161&amp;$D161,'Smelter Look-up'!$J:$J,0),MATCH($B161&amp;$C161,'Smelter Look-up'!$J:$J,0)))</f>
        <v>501</v>
      </c>
      <c r="X161" s="227">
        <f t="shared" ca="1" si="21"/>
        <v>0</v>
      </c>
      <c r="AB161" s="228" t="str">
        <f t="shared" ca="1" si="22"/>
        <v>TinPT Cipta Persada Mulia</v>
      </c>
    </row>
    <row r="162" spans="1:28" s="227" customFormat="1" ht="20.399999999999999">
      <c r="A162" s="181" t="s">
        <v>1771</v>
      </c>
      <c r="B162" s="182" t="str">
        <f ca="1">IF(LEN(A162)=0,"",INDEX('Smelter Look-up'!$A:$A,MATCH($A162,'Smelter Look-up'!$E:$E,0)))</f>
        <v>Tin</v>
      </c>
      <c r="C162" s="186" t="str">
        <f ca="1">IF(LEN(A162)=0,"",INDEX('Smelter Look-up'!$C:$C,MATCH($A162,'Smelter Look-up'!$E:$E,0)))</f>
        <v>Resind Industria e Comercio Ltda.</v>
      </c>
      <c r="D162" s="230"/>
      <c r="E162" s="182" t="str">
        <f ca="1">IF(ISERROR($V162),"",OFFSET('Smelter Look-up'!$D$4,$V162-4,0)&amp;"")</f>
        <v>BRAZIL</v>
      </c>
      <c r="F162" s="182" t="str">
        <f ca="1">IF(ISERROR($V162),"",OFFSET('Smelter Look-up'!$E$4,$V162-4,0))</f>
        <v>CID002706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Resind Industria e Comercio Ltda.</v>
      </c>
      <c r="S162" s="181" t="str">
        <f t="shared" ca="1" si="20"/>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512</v>
      </c>
      <c r="X162" s="227">
        <f t="shared" ca="1" si="21"/>
        <v>0</v>
      </c>
      <c r="AB162" s="228" t="str">
        <f t="shared" ca="1" si="22"/>
        <v>TinResind Industria e Comercio Ltda.</v>
      </c>
    </row>
    <row r="163" spans="1:28" s="227" customFormat="1" ht="20.399999999999999">
      <c r="A163" s="181" t="s">
        <v>1716</v>
      </c>
      <c r="B163" s="182" t="str">
        <f ca="1">IF(LEN(A163)=0,"",INDEX('Smelter Look-up'!$A:$A,MATCH($A163,'Smelter Look-up'!$E:$E,0)))</f>
        <v>Tantalum</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CID002707</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374</v>
      </c>
      <c r="X163" s="227">
        <f t="shared" ca="1" si="21"/>
        <v>0</v>
      </c>
      <c r="AB163" s="228" t="str">
        <f t="shared" ca="1" si="22"/>
        <v>TantalumResind Industria e Comercio Ltda.</v>
      </c>
    </row>
    <row r="164" spans="1:28" s="227" customFormat="1" ht="20.399999999999999">
      <c r="A164" s="181" t="s">
        <v>2386</v>
      </c>
      <c r="B164" s="182" t="str">
        <f ca="1">IF(LEN(A164)=0,"",INDEX('Smelter Look-up'!$A:$A,MATCH($A164,'Smelter Look-up'!$E:$E,0)))</f>
        <v>Gold</v>
      </c>
      <c r="C164" s="186" t="str">
        <f ca="1">IF(LEN(A164)=0,"",INDEX('Smelter Look-up'!$C:$C,MATCH($A164,'Smelter Look-up'!$E:$E,0)))</f>
        <v>Abington Reldan Metals, LLC</v>
      </c>
      <c r="D164" s="230"/>
      <c r="E164" s="182" t="str">
        <f ca="1">IF(ISERROR($V164),"",OFFSET('Smelter Look-up'!$D$4,$V164-4,0)&amp;"")</f>
        <v>UNITED STATES OF AMERICA</v>
      </c>
      <c r="F164" s="182" t="str">
        <f ca="1">IF(ISERROR($V164),"",OFFSET('Smelter Look-up'!$E$4,$V164-4,0))</f>
        <v>CID002708</v>
      </c>
      <c r="G164" s="182" t="str">
        <f ca="1">IF(C164=$X$4,IF(ISERROR($V164),"Enter smelter details","RMI"),IF(ISERROR($V164),"",OFFSET('Smelter Look-up'!$F$4,$V164-4,0)))</f>
        <v>RMI</v>
      </c>
      <c r="H164" s="183">
        <f ca="1">IF(ISERROR($V164),"",OFFSET('Smelter Look-up'!$G$4,$V164-4,0))</f>
        <v>0</v>
      </c>
      <c r="I164" s="184" t="str">
        <f ca="1">IF(ISERROR($V164),"",OFFSET('Smelter Look-up'!$H$4,$V164-4,0))</f>
        <v>Fairless Hills</v>
      </c>
      <c r="J164" s="184" t="str">
        <f ca="1">IF(ISERROR($V164),"",OFFSET('Smelter Look-up'!$I$4,$V164-4,0))</f>
        <v>Pennsylvania</v>
      </c>
      <c r="K164" s="224"/>
      <c r="L164" s="224"/>
      <c r="M164" s="224"/>
      <c r="N164" s="224"/>
      <c r="O164" s="224"/>
      <c r="P164" s="185"/>
      <c r="Q164" s="225"/>
      <c r="R164" s="182" t="str">
        <f ca="1">IF(ISERROR($V164),"",OFFSET('Smelter Look-up'!$C$4,$V164-4,0)&amp;"")</f>
        <v>Abington Reldan Metals, LLC</v>
      </c>
      <c r="S164" s="181" t="str">
        <f t="shared" ca="1" si="20"/>
        <v>US</v>
      </c>
      <c r="T164" s="181" t="str">
        <f ca="1">IF(B164="","",IF(ISERROR(MATCH($J164,SorP!$B$1:$B$6226,0)),"",INDIRECT("'SorP'!$A$"&amp;MATCH($S164&amp;$J164,SorP!C:C,0))))</f>
        <v>US-PA</v>
      </c>
      <c r="U164" s="201"/>
      <c r="V164" s="226">
        <f ca="1">IF(C164="",NA(),IF(OR(C164="Smelter not listed",C164="Smelter not yet identified"),MATCH($B164&amp;$D164,'Smelter Look-up'!$J:$J,0),MATCH($B164&amp;$C164,'Smelter Look-up'!$J:$J,0)))</f>
        <v>7</v>
      </c>
      <c r="X164" s="227">
        <f t="shared" ca="1" si="21"/>
        <v>0</v>
      </c>
      <c r="AB164" s="228" t="str">
        <f t="shared" ca="1" si="22"/>
        <v>GoldAbington Reldan Metals, LLC</v>
      </c>
    </row>
    <row r="165" spans="1:28" s="227" customFormat="1" ht="20.399999999999999">
      <c r="A165" s="181" t="s">
        <v>2483</v>
      </c>
      <c r="B165" s="182" t="str">
        <f ca="1">IF(LEN(A165)=0,"",INDEX('Smelter Look-up'!$A:$A,MATCH($A165,'Smelter Look-up'!$E:$E,0)))</f>
        <v>Tin</v>
      </c>
      <c r="C165" s="186" t="str">
        <f ca="1">IF(LEN(A165)=0,"",INDEX('Smelter Look-up'!$C:$C,MATCH($A165,'Smelter Look-up'!$E:$E,0)))</f>
        <v>Super Ligas</v>
      </c>
      <c r="D165" s="230"/>
      <c r="E165" s="182" t="str">
        <f ca="1">IF(ISERROR($V165),"",OFFSET('Smelter Look-up'!$D$4,$V165-4,0)&amp;"")</f>
        <v>BRAZIL</v>
      </c>
      <c r="F165" s="182" t="str">
        <f ca="1">IF(ISERROR($V165),"",OFFSET('Smelter Look-up'!$E$4,$V165-4,0))</f>
        <v>CID002756</v>
      </c>
      <c r="G165" s="182" t="str">
        <f ca="1">IF(C165=$X$4,IF(ISERROR($V165),"Enter smelter details","RMI"),IF(ISERROR($V165),"",OFFSET('Smelter Look-up'!$F$4,$V165-4,0)))</f>
        <v>RMI</v>
      </c>
      <c r="H165" s="183">
        <f ca="1">IF(ISERROR($V165),"",OFFSET('Smelter Look-up'!$G$4,$V165-4,0))</f>
        <v>0</v>
      </c>
      <c r="I165" s="184" t="str">
        <f ca="1">IF(ISERROR($V165),"",OFFSET('Smelter Look-up'!$H$4,$V165-4,0))</f>
        <v>Piracicaba</v>
      </c>
      <c r="J165" s="184" t="str">
        <f ca="1">IF(ISERROR($V165),"",OFFSET('Smelter Look-up'!$I$4,$V165-4,0))</f>
        <v>São Paulo</v>
      </c>
      <c r="K165" s="224"/>
      <c r="L165" s="224"/>
      <c r="M165" s="224"/>
      <c r="N165" s="224"/>
      <c r="O165" s="224"/>
      <c r="P165" s="185"/>
      <c r="Q165" s="225"/>
      <c r="R165" s="182" t="str">
        <f ca="1">IF(ISERROR($V165),"",OFFSET('Smelter Look-up'!$C$4,$V165-4,0)&amp;"")</f>
        <v>Super Ligas</v>
      </c>
      <c r="S165" s="181" t="str">
        <f t="shared" ca="1" si="20"/>
        <v>BR</v>
      </c>
      <c r="T165" s="181" t="str">
        <f ca="1">IF(B165="","",IF(ISERROR(MATCH($J165,SorP!$B$1:$B$6226,0)),"",INDIRECT("'SorP'!$A$"&amp;MATCH($S165&amp;$J165,SorP!C:C,0))))</f>
        <v>BR-SP</v>
      </c>
      <c r="U165" s="201"/>
      <c r="V165" s="226">
        <f ca="1">IF(C165="",NA(),IF(OR(C165="Smelter not listed",C165="Smelter not yet identified"),MATCH($B165&amp;$D165,'Smelter Look-up'!$J:$J,0),MATCH($B165&amp;$C165,'Smelter Look-up'!$J:$J,0)))</f>
        <v>517</v>
      </c>
      <c r="X165" s="227">
        <f t="shared" ca="1" si="21"/>
        <v>0</v>
      </c>
      <c r="AB165" s="228" t="str">
        <f t="shared" ca="1" si="22"/>
        <v>TinSuper Ligas</v>
      </c>
    </row>
    <row r="166" spans="1:28" s="227" customFormat="1" ht="20.399999999999999">
      <c r="A166" s="181" t="s">
        <v>2455</v>
      </c>
      <c r="B166" s="182" t="str">
        <f ca="1">IF(LEN(A166)=0,"",INDEX('Smelter Look-up'!$A:$A,MATCH($A166,'Smelter Look-up'!$E:$E,0)))</f>
        <v>Gold</v>
      </c>
      <c r="C166" s="186" t="str">
        <f ca="1">IF(LEN(A166)=0,"",INDEX('Smelter Look-up'!$C:$C,MATCH($A166,'Smelter Look-up'!$E:$E,0)))</f>
        <v>Italpreziosi</v>
      </c>
      <c r="D166" s="230"/>
      <c r="E166" s="182" t="str">
        <f ca="1">IF(ISERROR($V166),"",OFFSET('Smelter Look-up'!$D$4,$V166-4,0)&amp;"")</f>
        <v>ITALY</v>
      </c>
      <c r="F166" s="182" t="str">
        <f ca="1">IF(ISERROR($V166),"",OFFSET('Smelter Look-up'!$E$4,$V166-4,0))</f>
        <v>CID002765</v>
      </c>
      <c r="G166" s="182" t="str">
        <f ca="1">IF(C166=$X$4,IF(ISERROR($V166),"Enter smelter details","RMI"),IF(ISERROR($V166),"",OFFSET('Smelter Look-up'!$F$4,$V166-4,0)))</f>
        <v>RMI</v>
      </c>
      <c r="H166" s="183">
        <f ca="1">IF(ISERROR($V166),"",OFFSET('Smelter Look-up'!$G$4,$V166-4,0))</f>
        <v>0</v>
      </c>
      <c r="I166" s="184" t="str">
        <f ca="1">IF(ISERROR($V166),"",OFFSET('Smelter Look-up'!$H$4,$V166-4,0))</f>
        <v>Arezzo</v>
      </c>
      <c r="J166" s="184" t="str">
        <f ca="1">IF(ISERROR($V166),"",OFFSET('Smelter Look-up'!$I$4,$V166-4,0))</f>
        <v>Toscana</v>
      </c>
      <c r="K166" s="224"/>
      <c r="L166" s="224"/>
      <c r="M166" s="224"/>
      <c r="N166" s="224"/>
      <c r="O166" s="224"/>
      <c r="P166" s="185"/>
      <c r="Q166" s="225"/>
      <c r="R166" s="182" t="str">
        <f ca="1">IF(ISERROR($V166),"",OFFSET('Smelter Look-up'!$C$4,$V166-4,0)&amp;"")</f>
        <v>Italpreziosi</v>
      </c>
      <c r="S166" s="181" t="str">
        <f t="shared" ref="S166:S196" ca="1" si="23">IF(B166="","",IF(ISERROR(MATCH($E166,CL,0)),"Unknown",INDIRECT("'C'!$A$"&amp;MATCH($E166,CL,0)+1)))</f>
        <v>IT</v>
      </c>
      <c r="T166" s="181" t="str">
        <f ca="1">IF(B166="","",IF(ISERROR(MATCH($J166,SorP!$B$1:$B$6226,0)),"",INDIRECT("'SorP'!$A$"&amp;MATCH($S166&amp;$J166,SorP!C:C,0))))</f>
        <v>IT-52</v>
      </c>
      <c r="U166" s="201"/>
      <c r="V166" s="226">
        <f ca="1">IF(C166="",NA(),IF(OR(C166="Smelter not listed",C166="Smelter not yet identified"),MATCH($B166&amp;$D166,'Smelter Look-up'!$J:$J,0),MATCH($B166&amp;$C166,'Smelter Look-up'!$J:$J,0)))</f>
        <v>125</v>
      </c>
      <c r="X166" s="227">
        <f t="shared" ref="X166:X196" ca="1" si="24">IF(AND(C166="Smelter not listed",OR(LEN(D166)=0,LEN(E166)=0)),1,0)</f>
        <v>0</v>
      </c>
      <c r="AB166" s="228" t="str">
        <f t="shared" ref="AB166:AB196" ca="1" si="25">B166&amp;C166</f>
        <v>GoldItalpreziosi</v>
      </c>
    </row>
    <row r="167" spans="1:28" s="227" customFormat="1" ht="20.399999999999999">
      <c r="A167" s="181" t="s">
        <v>1772</v>
      </c>
      <c r="B167" s="182" t="str">
        <f ca="1">IF(LEN(A167)=0,"",INDEX('Smelter Look-up'!$A:$A,MATCH($A167,'Smelter Look-up'!$E:$E,0)))</f>
        <v>Tin</v>
      </c>
      <c r="C167" s="186" t="str">
        <f ca="1">IF(LEN(A167)=0,"",INDEX('Smelter Look-up'!$C:$C,MATCH($A167,'Smelter Look-up'!$E:$E,0)))</f>
        <v>Aurubis Beerse</v>
      </c>
      <c r="D167" s="230"/>
      <c r="E167" s="182" t="str">
        <f ca="1">IF(ISERROR($V167),"",OFFSET('Smelter Look-up'!$D$4,$V167-4,0)&amp;"")</f>
        <v>BELGIUM</v>
      </c>
      <c r="F167" s="182" t="str">
        <f ca="1">IF(ISERROR($V167),"",OFFSET('Smelter Look-up'!$E$4,$V167-4,0))</f>
        <v>CID002773</v>
      </c>
      <c r="G167" s="182" t="str">
        <f ca="1">IF(C167=$X$4,IF(ISERROR($V167),"Enter smelter details","RMI"),IF(ISERROR($V167),"",OFFSET('Smelter Look-up'!$F$4,$V167-4,0)))</f>
        <v>RMI</v>
      </c>
      <c r="H167" s="183">
        <f ca="1">IF(ISERROR($V167),"",OFFSET('Smelter Look-up'!$G$4,$V167-4,0))</f>
        <v>0</v>
      </c>
      <c r="I167" s="184" t="str">
        <f ca="1">IF(ISERROR($V167),"",OFFSET('Smelter Look-up'!$H$4,$V167-4,0))</f>
        <v>Beerse</v>
      </c>
      <c r="J167" s="184" t="str">
        <f ca="1">IF(ISERROR($V167),"",OFFSET('Smelter Look-up'!$I$4,$V167-4,0))</f>
        <v>Antwerpen</v>
      </c>
      <c r="K167" s="224"/>
      <c r="L167" s="224"/>
      <c r="M167" s="224"/>
      <c r="N167" s="224"/>
      <c r="O167" s="224"/>
      <c r="P167" s="185"/>
      <c r="Q167" s="225"/>
      <c r="R167" s="182" t="str">
        <f ca="1">IF(ISERROR($V167),"",OFFSET('Smelter Look-up'!$C$4,$V167-4,0)&amp;"")</f>
        <v>Aurubis Beerse</v>
      </c>
      <c r="S167" s="181" t="str">
        <f t="shared" ca="1" si="23"/>
        <v>BE</v>
      </c>
      <c r="T167" s="181" t="str">
        <f ca="1">IF(B167="","",IF(ISERROR(MATCH($J167,SorP!$B$1:$B$6226,0)),"",INDIRECT("'SorP'!$A$"&amp;MATCH($S167&amp;$J167,SorP!C:C,0))))</f>
        <v>BE-VAN</v>
      </c>
      <c r="U167" s="201"/>
      <c r="V167" s="226">
        <f ca="1">IF(C167="",NA(),IF(OR(C167="Smelter not listed",C167="Smelter not yet identified"),MATCH($B167&amp;$D167,'Smelter Look-up'!$J:$J,0),MATCH($B167&amp;$C167,'Smelter Look-up'!$J:$J,0)))</f>
        <v>404</v>
      </c>
      <c r="X167" s="227">
        <f t="shared" ca="1" si="24"/>
        <v>0</v>
      </c>
      <c r="AB167" s="228" t="str">
        <f t="shared" ca="1" si="25"/>
        <v>TinAurubis Beerse</v>
      </c>
    </row>
    <row r="168" spans="1:28" s="227" customFormat="1" ht="20.399999999999999">
      <c r="A168" s="181" t="s">
        <v>1774</v>
      </c>
      <c r="B168" s="182" t="str">
        <f ca="1">IF(LEN(A168)=0,"",INDEX('Smelter Look-up'!$A:$A,MATCH($A168,'Smelter Look-up'!$E:$E,0)))</f>
        <v>Tin</v>
      </c>
      <c r="C168" s="186" t="str">
        <f ca="1">IF(LEN(A168)=0,"",INDEX('Smelter Look-up'!$C:$C,MATCH($A168,'Smelter Look-up'!$E:$E,0)))</f>
        <v>Aurubis Berango</v>
      </c>
      <c r="D168" s="230"/>
      <c r="E168" s="182" t="str">
        <f ca="1">IF(ISERROR($V168),"",OFFSET('Smelter Look-up'!$D$4,$V168-4,0)&amp;"")</f>
        <v>SPAIN</v>
      </c>
      <c r="F168" s="182" t="str">
        <f ca="1">IF(ISERROR($V168),"",OFFSET('Smelter Look-up'!$E$4,$V168-4,0))</f>
        <v>CID002774</v>
      </c>
      <c r="G168" s="182" t="str">
        <f ca="1">IF(C168=$X$4,IF(ISERROR($V168),"Enter smelter details","RMI"),IF(ISERROR($V168),"",OFFSET('Smelter Look-up'!$F$4,$V168-4,0)))</f>
        <v>RMI</v>
      </c>
      <c r="H168" s="183">
        <f ca="1">IF(ISERROR($V168),"",OFFSET('Smelter Look-up'!$G$4,$V168-4,0))</f>
        <v>0</v>
      </c>
      <c r="I168" s="184" t="str">
        <f ca="1">IF(ISERROR($V168),"",OFFSET('Smelter Look-up'!$H$4,$V168-4,0))</f>
        <v>Berango</v>
      </c>
      <c r="J168" s="184" t="str">
        <f ca="1">IF(ISERROR($V168),"",OFFSET('Smelter Look-up'!$I$4,$V168-4,0))</f>
        <v>Bizkaia</v>
      </c>
      <c r="K168" s="224"/>
      <c r="L168" s="224"/>
      <c r="M168" s="224"/>
      <c r="N168" s="224"/>
      <c r="O168" s="224"/>
      <c r="P168" s="185"/>
      <c r="Q168" s="225"/>
      <c r="R168" s="182" t="str">
        <f ca="1">IF(ISERROR($V168),"",OFFSET('Smelter Look-up'!$C$4,$V168-4,0)&amp;"")</f>
        <v>Aurubis Berango</v>
      </c>
      <c r="S168" s="181" t="str">
        <f t="shared" ca="1" si="23"/>
        <v>ES</v>
      </c>
      <c r="T168" s="181" t="str">
        <f ca="1">IF(B168="","",IF(ISERROR(MATCH($J168,SorP!$B$1:$B$6226,0)),"",INDIRECT("'SorP'!$A$"&amp;MATCH($S168&amp;$J168,SorP!C:C,0))))</f>
        <v>ES-BI</v>
      </c>
      <c r="U168" s="201"/>
      <c r="V168" s="226">
        <f ca="1">IF(C168="",NA(),IF(OR(C168="Smelter not listed",C168="Smelter not yet identified"),MATCH($B168&amp;$D168,'Smelter Look-up'!$J:$J,0),MATCH($B168&amp;$C168,'Smelter Look-up'!$J:$J,0)))</f>
        <v>405</v>
      </c>
      <c r="X168" s="227">
        <f t="shared" ca="1" si="24"/>
        <v>0</v>
      </c>
      <c r="AB168" s="228" t="str">
        <f t="shared" ca="1" si="25"/>
        <v>TinAurubis Berango</v>
      </c>
    </row>
    <row r="169" spans="1:28" s="227" customFormat="1" ht="20.399999999999999">
      <c r="A169" s="181" t="s">
        <v>15350</v>
      </c>
      <c r="B169" s="182" t="str">
        <f ca="1">IF(LEN(A169)=0,"",INDEX('Smelter Look-up'!$A:$A,MATCH($A169,'Smelter Look-up'!$E:$E,0)))</f>
        <v>Tin</v>
      </c>
      <c r="C169" s="186" t="str">
        <f ca="1">IF(LEN(A169)=0,"",INDEX('Smelter Look-up'!$C:$C,MATCH($A169,'Smelter Look-up'!$E:$E,0)))</f>
        <v>PT Bangka Prima Tin</v>
      </c>
      <c r="D169" s="230"/>
      <c r="E169" s="182" t="str">
        <f ca="1">IF(ISERROR($V169),"",OFFSET('Smelter Look-up'!$D$4,$V169-4,0)&amp;"")</f>
        <v>INDONESIA</v>
      </c>
      <c r="F169" s="182" t="str">
        <f ca="1">IF(ISERROR($V169),"",OFFSET('Smelter Look-up'!$E$4,$V169-4,0))</f>
        <v>CID002776</v>
      </c>
      <c r="G169" s="182" t="str">
        <f ca="1">IF(C169=$X$4,IF(ISERROR($V169),"Enter smelter details","RMI"),IF(ISERROR($V169),"",OFFSET('Smelter Look-up'!$F$4,$V169-4,0)))</f>
        <v>RMI</v>
      </c>
      <c r="H169" s="183">
        <f ca="1">IF(ISERROR($V169),"",OFFSET('Smelter Look-up'!$G$4,$V169-4,0))</f>
        <v>0</v>
      </c>
      <c r="I169" s="184" t="str">
        <f ca="1">IF(ISERROR($V169),"",OFFSET('Smelter Look-up'!$H$4,$V169-4,0))</f>
        <v>Air Mesu</v>
      </c>
      <c r="J169" s="184" t="str">
        <f ca="1">IF(ISERROR($V169),"",OFFSET('Smelter Look-up'!$I$4,$V169-4,0))</f>
        <v>Kepulauan Bangka Belitung</v>
      </c>
      <c r="K169" s="224"/>
      <c r="L169" s="224"/>
      <c r="M169" s="224"/>
      <c r="N169" s="224"/>
      <c r="O169" s="224"/>
      <c r="P169" s="185"/>
      <c r="Q169" s="225"/>
      <c r="R169" s="182" t="str">
        <f ca="1">IF(ISERROR($V169),"",OFFSET('Smelter Look-up'!$C$4,$V169-4,0)&amp;"")</f>
        <v>PT Bangka Prima Tin</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500</v>
      </c>
      <c r="X169" s="227">
        <f t="shared" ca="1" si="24"/>
        <v>0</v>
      </c>
      <c r="AB169" s="228" t="str">
        <f t="shared" ca="1" si="25"/>
        <v>TinPT Bangka Prima Tin</v>
      </c>
    </row>
    <row r="170" spans="1:28" s="227" customFormat="1" ht="20.399999999999999">
      <c r="A170" s="181" t="s">
        <v>2157</v>
      </c>
      <c r="B170" s="182" t="str">
        <f ca="1">IF(LEN(A170)=0,"",INDEX('Smelter Look-up'!$A:$A,MATCH($A170,'Smelter Look-up'!$E:$E,0)))</f>
        <v>Gold</v>
      </c>
      <c r="C170" s="186" t="str">
        <f ca="1">IF(LEN(A170)=0,"",INDEX('Smelter Look-up'!$C:$C,MATCH($A170,'Smelter Look-up'!$E:$E,0)))</f>
        <v>WIELAND Edelmetalle GmbH</v>
      </c>
      <c r="D170" s="230"/>
      <c r="E170" s="182" t="str">
        <f ca="1">IF(ISERROR($V170),"",OFFSET('Smelter Look-up'!$D$4,$V170-4,0)&amp;"")</f>
        <v>GERMANY</v>
      </c>
      <c r="F170" s="182" t="str">
        <f ca="1">IF(ISERROR($V170),"",OFFSET('Smelter Look-up'!$E$4,$V170-4,0))</f>
        <v>CID002778</v>
      </c>
      <c r="G170" s="182" t="str">
        <f ca="1">IF(C170=$X$4,IF(ISERROR($V170),"Enter smelter details","RMI"),IF(ISERROR($V170),"",OFFSET('Smelter Look-up'!$F$4,$V170-4,0)))</f>
        <v>RMI</v>
      </c>
      <c r="H170" s="183">
        <f ca="1">IF(ISERROR($V170),"",OFFSET('Smelter Look-up'!$G$4,$V170-4,0))</f>
        <v>0</v>
      </c>
      <c r="I170" s="184" t="str">
        <f ca="1">IF(ISERROR($V170),"",OFFSET('Smelter Look-up'!$H$4,$V170-4,0))</f>
        <v>Pforzheim</v>
      </c>
      <c r="J170" s="184" t="str">
        <f ca="1">IF(ISERROR($V170),"",OFFSET('Smelter Look-up'!$I$4,$V170-4,0))</f>
        <v>Baden-Württemberg</v>
      </c>
      <c r="K170" s="224"/>
      <c r="L170" s="224"/>
      <c r="M170" s="224"/>
      <c r="N170" s="224"/>
      <c r="O170" s="224"/>
      <c r="P170" s="185"/>
      <c r="Q170" s="225"/>
      <c r="R170" s="182" t="str">
        <f ca="1">IF(ISERROR($V170),"",OFFSET('Smelter Look-up'!$C$4,$V170-4,0)&amp;"")</f>
        <v>WIELAND Edelmetalle GmbH</v>
      </c>
      <c r="S170" s="181" t="str">
        <f t="shared" ca="1" si="23"/>
        <v>DE</v>
      </c>
      <c r="T170" s="181" t="str">
        <f ca="1">IF(B170="","",IF(ISERROR(MATCH($J170,SorP!$B$1:$B$6226,0)),"",INDIRECT("'SorP'!$A$"&amp;MATCH($S170&amp;$J170,SorP!C:C,0))))</f>
        <v>DE-BW</v>
      </c>
      <c r="U170" s="201"/>
      <c r="V170" s="226">
        <f ca="1">IF(C170="",NA(),IF(OR(C170="Smelter not listed",C170="Smelter not yet identified"),MATCH($B170&amp;$D170,'Smelter Look-up'!$J:$J,0),MATCH($B170&amp;$C170,'Smelter Look-up'!$J:$J,0)))</f>
        <v>307</v>
      </c>
      <c r="X170" s="227">
        <f t="shared" ca="1" si="24"/>
        <v>0</v>
      </c>
      <c r="AB170" s="228" t="str">
        <f t="shared" ca="1" si="25"/>
        <v>GoldWIELAND Edelmetalle GmbH</v>
      </c>
    </row>
    <row r="171" spans="1:28" s="227" customFormat="1" ht="20.399999999999999">
      <c r="A171" s="181" t="s">
        <v>2222</v>
      </c>
      <c r="B171" s="182" t="str">
        <f ca="1">IF(LEN(A171)=0,"",INDEX('Smelter Look-up'!$A:$A,MATCH($A171,'Smelter Look-up'!$E:$E,0)))</f>
        <v>Tantalum</v>
      </c>
      <c r="C171" s="186" t="str">
        <f ca="1">IF(LEN(A171)=0,"",INDEX('Smelter Look-up'!$C:$C,MATCH($A171,'Smelter Look-up'!$E:$E,0)))</f>
        <v>Jiangxi Tuohong New Raw Material</v>
      </c>
      <c r="D171" s="230"/>
      <c r="E171" s="182" t="str">
        <f ca="1">IF(ISERROR($V171),"",OFFSET('Smelter Look-up'!$D$4,$V171-4,0)&amp;"")</f>
        <v>CHINA</v>
      </c>
      <c r="F171" s="182" t="str">
        <f ca="1">IF(ISERROR($V171),"",OFFSET('Smelter Look-up'!$E$4,$V171-4,0))</f>
        <v>CID002842</v>
      </c>
      <c r="G171" s="182" t="str">
        <f ca="1">IF(C171=$X$4,IF(ISERROR($V171),"Enter smelter details","RMI"),IF(ISERROR($V171),"",OFFSET('Smelter Look-up'!$F$4,$V171-4,0)))</f>
        <v>RMI</v>
      </c>
      <c r="H171" s="183">
        <f ca="1">IF(ISERROR($V171),"",OFFSET('Smelter Look-up'!$G$4,$V171-4,0))</f>
        <v>0</v>
      </c>
      <c r="I171" s="184" t="str">
        <f ca="1">IF(ISERROR($V171),"",OFFSET('Smelter Look-up'!$H$4,$V171-4,0))</f>
        <v>Yichun</v>
      </c>
      <c r="J171" s="184" t="str">
        <f ca="1">IF(ISERROR($V171),"",OFFSET('Smelter Look-up'!$I$4,$V171-4,0))</f>
        <v>Jiangxi Sheng</v>
      </c>
      <c r="K171" s="224"/>
      <c r="L171" s="224"/>
      <c r="M171" s="224"/>
      <c r="N171" s="224"/>
      <c r="O171" s="224"/>
      <c r="P171" s="185"/>
      <c r="Q171" s="225"/>
      <c r="R171" s="182" t="str">
        <f ca="1">IF(ISERROR($V171),"",OFFSET('Smelter Look-up'!$C$4,$V171-4,0)&amp;"")</f>
        <v>Jiangxi Tuohong New Raw Material</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352</v>
      </c>
      <c r="X171" s="227">
        <f t="shared" ca="1" si="24"/>
        <v>0</v>
      </c>
      <c r="AB171" s="228" t="str">
        <f t="shared" ca="1" si="25"/>
        <v>TantalumJiangxi Tuohong New Raw Material</v>
      </c>
    </row>
    <row r="172" spans="1:28" s="227" customFormat="1" ht="20.399999999999999">
      <c r="A172" s="181" t="s">
        <v>2244</v>
      </c>
      <c r="B172" s="182" t="str">
        <f ca="1">IF(LEN(A172)=0,"",INDEX('Smelter Look-up'!$A:$A,MATCH($A172,'Smelter Look-up'!$E:$E,0)))</f>
        <v>Gold</v>
      </c>
      <c r="C172" s="186" t="str">
        <f ca="1">IF(LEN(A172)=0,"",INDEX('Smelter Look-up'!$C:$C,MATCH($A172,'Smelter Look-up'!$E:$E,0)))</f>
        <v>Bangalore Refinery</v>
      </c>
      <c r="D172" s="230"/>
      <c r="E172" s="182" t="str">
        <f ca="1">IF(ISERROR($V172),"",OFFSET('Smelter Look-up'!$D$4,$V172-4,0)&amp;"")</f>
        <v>INDIA</v>
      </c>
      <c r="F172" s="182" t="str">
        <f ca="1">IF(ISERROR($V172),"",OFFSET('Smelter Look-up'!$E$4,$V172-4,0))</f>
        <v>CID002863</v>
      </c>
      <c r="G172" s="182" t="str">
        <f ca="1">IF(C172=$X$4,IF(ISERROR($V172),"Enter smelter details","RMI"),IF(ISERROR($V172),"",OFFSET('Smelter Look-up'!$F$4,$V172-4,0)))</f>
        <v>RMI</v>
      </c>
      <c r="H172" s="183">
        <f ca="1">IF(ISERROR($V172),"",OFFSET('Smelter Look-up'!$G$4,$V172-4,0))</f>
        <v>0</v>
      </c>
      <c r="I172" s="184" t="str">
        <f ca="1">IF(ISERROR($V172),"",OFFSET('Smelter Look-up'!$H$4,$V172-4,0))</f>
        <v>Bangalore</v>
      </c>
      <c r="J172" s="184" t="str">
        <f ca="1">IF(ISERROR($V172),"",OFFSET('Smelter Look-up'!$I$4,$V172-4,0))</f>
        <v>Karnātaka</v>
      </c>
      <c r="K172" s="224"/>
      <c r="L172" s="224"/>
      <c r="M172" s="224"/>
      <c r="N172" s="224"/>
      <c r="O172" s="224"/>
      <c r="P172" s="185"/>
      <c r="Q172" s="225"/>
      <c r="R172" s="182" t="str">
        <f ca="1">IF(ISERROR($V172),"",OFFSET('Smelter Look-up'!$C$4,$V172-4,0)&amp;"")</f>
        <v>Bangalore Refinery</v>
      </c>
      <c r="S172" s="181" t="str">
        <f t="shared" ca="1" si="23"/>
        <v>IN</v>
      </c>
      <c r="T172" s="181" t="str">
        <f ca="1">IF(B172="","",IF(ISERROR(MATCH($J172,SorP!$B$1:$B$6226,0)),"",INDIRECT("'SorP'!$A$"&amp;MATCH($S172&amp;$J172,SorP!C:C,0))))</f>
        <v>IN-KA</v>
      </c>
      <c r="U172" s="201"/>
      <c r="V172" s="226">
        <f ca="1">IF(C172="",NA(),IF(OR(C172="Smelter not listed",C172="Smelter not yet identified"),MATCH($B172&amp;$D172,'Smelter Look-up'!$J:$J,0),MATCH($B172&amp;$C172,'Smelter Look-up'!$J:$J,0)))</f>
        <v>41</v>
      </c>
      <c r="X172" s="227">
        <f t="shared" ca="1" si="24"/>
        <v>0</v>
      </c>
      <c r="AB172" s="228" t="str">
        <f t="shared" ca="1" si="25"/>
        <v>GoldBangalore Refinery</v>
      </c>
    </row>
    <row r="173" spans="1:28" s="227" customFormat="1" ht="20.399999999999999">
      <c r="A173" s="181" t="s">
        <v>2404</v>
      </c>
      <c r="B173" s="182" t="str">
        <f ca="1">IF(LEN(A173)=0,"",INDEX('Smelter Look-up'!$A:$A,MATCH($A173,'Smelter Look-up'!$E:$E,0)))</f>
        <v>Gold</v>
      </c>
      <c r="C173" s="186" t="str">
        <f ca="1">IF(LEN(A173)=0,"",INDEX('Smelter Look-up'!$C:$C,MATCH($A173,'Smelter Look-up'!$E:$E,0)))</f>
        <v>SungEel HiMetal Co., Ltd.</v>
      </c>
      <c r="D173" s="230"/>
      <c r="E173" s="182" t="str">
        <f ca="1">IF(ISERROR($V173),"",OFFSET('Smelter Look-up'!$D$4,$V173-4,0)&amp;"")</f>
        <v>KOREA, REPUBLIC OF</v>
      </c>
      <c r="F173" s="182" t="str">
        <f ca="1">IF(ISERROR($V173),"",OFFSET('Smelter Look-up'!$E$4,$V173-4,0))</f>
        <v>CID002918</v>
      </c>
      <c r="G173" s="182" t="str">
        <f ca="1">IF(C173=$X$4,IF(ISERROR($V173),"Enter smelter details","RMI"),IF(ISERROR($V173),"",OFFSET('Smelter Look-up'!$F$4,$V173-4,0)))</f>
        <v>RMI</v>
      </c>
      <c r="H173" s="183">
        <f ca="1">IF(ISERROR($V173),"",OFFSET('Smelter Look-up'!$G$4,$V173-4,0))</f>
        <v>0</v>
      </c>
      <c r="I173" s="184" t="str">
        <f ca="1">IF(ISERROR($V173),"",OFFSET('Smelter Look-up'!$H$4,$V173-4,0))</f>
        <v>Gunsan-si</v>
      </c>
      <c r="J173" s="184" t="str">
        <f ca="1">IF(ISERROR($V173),"",OFFSET('Smelter Look-up'!$I$4,$V173-4,0))</f>
        <v>Jeollabuk-do</v>
      </c>
      <c r="K173" s="224"/>
      <c r="L173" s="224"/>
      <c r="M173" s="224"/>
      <c r="N173" s="224"/>
      <c r="O173" s="224"/>
      <c r="P173" s="185"/>
      <c r="Q173" s="225"/>
      <c r="R173" s="182" t="str">
        <f ca="1">IF(ISERROR($V173),"",OFFSET('Smelter Look-up'!$C$4,$V173-4,0)&amp;"")</f>
        <v>SungEel HiMetal Co., Ltd.</v>
      </c>
      <c r="S173" s="181" t="str">
        <f t="shared" ca="1" si="23"/>
        <v>KR</v>
      </c>
      <c r="T173" s="181" t="str">
        <f ca="1">IF(B173="","",IF(ISERROR(MATCH($J173,SorP!$B$1:$B$6226,0)),"",INDIRECT("'SorP'!$A$"&amp;MATCH($S173&amp;$J173,SorP!C:C,0))))</f>
        <v>KR-45</v>
      </c>
      <c r="U173" s="201"/>
      <c r="V173" s="226">
        <f ca="1">IF(C173="",NA(),IF(OR(C173="Smelter not listed",C173="Smelter not yet identified"),MATCH($B173&amp;$D173,'Smelter Look-up'!$J:$J,0),MATCH($B173&amp;$C173,'Smelter Look-up'!$J:$J,0)))</f>
        <v>275</v>
      </c>
      <c r="X173" s="227">
        <f t="shared" ca="1" si="24"/>
        <v>0</v>
      </c>
      <c r="AB173" s="228" t="str">
        <f t="shared" ca="1" si="25"/>
        <v>GoldSungEel HiMetal Co., Ltd.</v>
      </c>
    </row>
    <row r="174" spans="1:28" s="227" customFormat="1" ht="20.399999999999999">
      <c r="A174" s="181" t="s">
        <v>2466</v>
      </c>
      <c r="B174" s="182" t="str">
        <f ca="1">IF(LEN(A174)=0,"",INDEX('Smelter Look-up'!$A:$A,MATCH($A174,'Smelter Look-up'!$E:$E,0)))</f>
        <v>Gold</v>
      </c>
      <c r="C174" s="186" t="str">
        <f ca="1">IF(LEN(A174)=0,"",INDEX('Smelter Look-up'!$C:$C,MATCH($A174,'Smelter Look-up'!$E:$E,0)))</f>
        <v>Planta Recuperadora de Metales SpA</v>
      </c>
      <c r="D174" s="230"/>
      <c r="E174" s="182" t="str">
        <f ca="1">IF(ISERROR($V174),"",OFFSET('Smelter Look-up'!$D$4,$V174-4,0)&amp;"")</f>
        <v>CHILE</v>
      </c>
      <c r="F174" s="182" t="str">
        <f ca="1">IF(ISERROR($V174),"",OFFSET('Smelter Look-up'!$E$4,$V174-4,0))</f>
        <v>CID002919</v>
      </c>
      <c r="G174" s="182" t="str">
        <f ca="1">IF(C174=$X$4,IF(ISERROR($V174),"Enter smelter details","RMI"),IF(ISERROR($V174),"",OFFSET('Smelter Look-up'!$F$4,$V174-4,0)))</f>
        <v>RMI</v>
      </c>
      <c r="H174" s="183">
        <f ca="1">IF(ISERROR($V174),"",OFFSET('Smelter Look-up'!$G$4,$V174-4,0))</f>
        <v>0</v>
      </c>
      <c r="I174" s="184" t="str">
        <f ca="1">IF(ISERROR($V174),"",OFFSET('Smelter Look-up'!$H$4,$V174-4,0))</f>
        <v>Mejillones</v>
      </c>
      <c r="J174" s="184" t="str">
        <f ca="1">IF(ISERROR($V174),"",OFFSET('Smelter Look-up'!$I$4,$V174-4,0))</f>
        <v>Antofagasta</v>
      </c>
      <c r="K174" s="224"/>
      <c r="L174" s="224"/>
      <c r="M174" s="224"/>
      <c r="N174" s="224"/>
      <c r="O174" s="224"/>
      <c r="P174" s="185"/>
      <c r="Q174" s="225"/>
      <c r="R174" s="182" t="str">
        <f ca="1">IF(ISERROR($V174),"",OFFSET('Smelter Look-up'!$C$4,$V174-4,0)&amp;"")</f>
        <v>Planta Recuperadora de Metales SpA</v>
      </c>
      <c r="S174" s="181" t="str">
        <f t="shared" ca="1" si="23"/>
        <v>CL</v>
      </c>
      <c r="T174" s="181" t="str">
        <f ca="1">IF(B174="","",IF(ISERROR(MATCH($J174,SorP!$B$1:$B$6226,0)),"",INDIRECT("'SorP'!$A$"&amp;MATCH($S174&amp;$J174,SorP!C:C,0))))</f>
        <v>CL-AN</v>
      </c>
      <c r="U174" s="201"/>
      <c r="V174" s="226">
        <f ca="1">IF(C174="",NA(),IF(OR(C174="Smelter not listed",C174="Smelter not yet identified"),MATCH($B174&amp;$D174,'Smelter Look-up'!$J:$J,0),MATCH($B174&amp;$C174,'Smelter Look-up'!$J:$J,0)))</f>
        <v>217</v>
      </c>
      <c r="X174" s="227">
        <f t="shared" ca="1" si="24"/>
        <v>0</v>
      </c>
      <c r="AB174" s="228" t="str">
        <f t="shared" ca="1" si="25"/>
        <v>GoldPlanta Recuperadora de Metales SpA</v>
      </c>
    </row>
    <row r="175" spans="1:28" s="227" customFormat="1" ht="20.399999999999999">
      <c r="A175" s="181" t="s">
        <v>2481</v>
      </c>
      <c r="B175" s="182" t="str">
        <f ca="1">IF(LEN(A175)=0,"",INDEX('Smelter Look-up'!$A:$A,MATCH($A175,'Smelter Look-up'!$E:$E,0)))</f>
        <v>Tin</v>
      </c>
      <c r="C175" s="186" t="str">
        <f ca="1">IF(LEN(A175)=0,"",INDEX('Smelter Look-up'!$C:$C,MATCH($A175,'Smelter Look-up'!$E:$E,0)))</f>
        <v>Guangdong Hanhe Non-Ferrous Metal Co., Ltd.</v>
      </c>
      <c r="D175" s="230"/>
      <c r="E175" s="182" t="str">
        <f ca="1">IF(ISERROR($V175),"",OFFSET('Smelter Look-up'!$D$4,$V175-4,0)&amp;"")</f>
        <v>CHINA</v>
      </c>
      <c r="F175" s="182" t="str">
        <f ca="1">IF(ISERROR($V175),"",OFFSET('Smelter Look-up'!$E$4,$V175-4,0))</f>
        <v>CID003116</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Hanhe Non-Ferrous Metal Co., Ltd.</v>
      </c>
      <c r="S175" s="181" t="str">
        <f t="shared" ca="1" si="23"/>
        <v>CN</v>
      </c>
      <c r="T175" s="181" t="str">
        <f ca="1">IF(B175="","",IF(ISERROR(MATCH($J175,SorP!$B$1:$B$6226,0)),"",INDIRECT("'SorP'!$A$"&amp;MATCH($S175&amp;$J175,SorP!C:C,0))))</f>
        <v>CN-GD</v>
      </c>
      <c r="U175" s="201"/>
      <c r="V175" s="226">
        <f ca="1">IF(C175="",NA(),IF(OR(C175="Smelter not listed",C175="Smelter not yet identified"),MATCH($B175&amp;$D175,'Smelter Look-up'!$J:$J,0),MATCH($B175&amp;$C175,'Smelter Look-up'!$J:$J,0)))</f>
        <v>450</v>
      </c>
      <c r="X175" s="227">
        <f t="shared" ca="1" si="24"/>
        <v>0</v>
      </c>
      <c r="AB175" s="228" t="str">
        <f t="shared" ca="1" si="25"/>
        <v>TinGuangdong Hanhe Non-Ferrous Metal Co., Ltd.</v>
      </c>
    </row>
    <row r="176" spans="1:28" s="227" customFormat="1" ht="20.399999999999999">
      <c r="A176" s="181" t="s">
        <v>12868</v>
      </c>
      <c r="B176" s="182" t="str">
        <f ca="1">IF(LEN(A176)=0,"",INDEX('Smelter Look-up'!$A:$A,MATCH($A176,'Smelter Look-up'!$E:$E,0)))</f>
        <v>Gold</v>
      </c>
      <c r="C176" s="186" t="str">
        <f ca="1">IF(LEN(A176)=0,"",INDEX('Smelter Look-up'!$C:$C,MATCH($A176,'Smelter Look-up'!$E:$E,0)))</f>
        <v>NH Recytech Company</v>
      </c>
      <c r="D176" s="230"/>
      <c r="E176" s="182" t="str">
        <f ca="1">IF(ISERROR($V176),"",OFFSET('Smelter Look-up'!$D$4,$V176-4,0)&amp;"")</f>
        <v>KOREA, REPUBLIC OF</v>
      </c>
      <c r="F176" s="182" t="str">
        <f ca="1">IF(ISERROR($V176),"",OFFSET('Smelter Look-up'!$E$4,$V176-4,0))</f>
        <v>CID003189</v>
      </c>
      <c r="G176" s="182" t="str">
        <f ca="1">IF(C176=$X$4,IF(ISERROR($V176),"Enter smelter details","RMI"),IF(ISERROR($V176),"",OFFSET('Smelter Look-up'!$F$4,$V176-4,0)))</f>
        <v>RMI</v>
      </c>
      <c r="H176" s="183">
        <f ca="1">IF(ISERROR($V176),"",OFFSET('Smelter Look-up'!$G$4,$V176-4,0))</f>
        <v>0</v>
      </c>
      <c r="I176" s="184" t="str">
        <f ca="1">IF(ISERROR($V176),"",OFFSET('Smelter Look-up'!$H$4,$V176-4,0))</f>
        <v>Pyeongtaek-si</v>
      </c>
      <c r="J176" s="184" t="str">
        <f ca="1">IF(ISERROR($V176),"",OFFSET('Smelter Look-up'!$I$4,$V176-4,0))</f>
        <v>Gyeonggi-do</v>
      </c>
      <c r="K176" s="224"/>
      <c r="L176" s="224"/>
      <c r="M176" s="224"/>
      <c r="N176" s="224"/>
      <c r="O176" s="224"/>
      <c r="P176" s="185"/>
      <c r="Q176" s="225"/>
      <c r="R176" s="182" t="str">
        <f ca="1">IF(ISERROR($V176),"",OFFSET('Smelter Look-up'!$C$4,$V176-4,0)&amp;"")</f>
        <v>NH Recytech Company</v>
      </c>
      <c r="S176" s="181" t="str">
        <f t="shared" ca="1" si="23"/>
        <v>KR</v>
      </c>
      <c r="T176" s="181" t="str">
        <f ca="1">IF(B176="","",IF(ISERROR(MATCH($J176,SorP!$B$1:$B$6226,0)),"",INDIRECT("'SorP'!$A$"&amp;MATCH($S176&amp;$J176,SorP!C:C,0))))</f>
        <v>KR-41</v>
      </c>
      <c r="U176" s="201"/>
      <c r="V176" s="226">
        <f ca="1">IF(C176="",NA(),IF(OR(C176="Smelter not listed",C176="Smelter not yet identified"),MATCH($B176&amp;$D176,'Smelter Look-up'!$J:$J,0),MATCH($B176&amp;$C176,'Smelter Look-up'!$J:$J,0)))</f>
        <v>200</v>
      </c>
      <c r="X176" s="227">
        <f t="shared" ca="1" si="24"/>
        <v>0</v>
      </c>
      <c r="AB176" s="228" t="str">
        <f t="shared" ca="1" si="25"/>
        <v>GoldNH Recytech Company</v>
      </c>
    </row>
    <row r="177" spans="1:28" s="227" customFormat="1" ht="20.399999999999999">
      <c r="A177" s="181" t="s">
        <v>12877</v>
      </c>
      <c r="B177" s="182" t="str">
        <f ca="1">IF(LEN(A177)=0,"",INDEX('Smelter Look-up'!$A:$A,MATCH($A177,'Smelter Look-up'!$E:$E,0)))</f>
        <v>Tin</v>
      </c>
      <c r="C177" s="186" t="str">
        <f ca="1">IF(LEN(A177)=0,"",INDEX('Smelter Look-up'!$C:$C,MATCH($A177,'Smelter Look-up'!$E:$E,0)))</f>
        <v>Chifeng Dajingzi Tin Industry Co., Ltd.</v>
      </c>
      <c r="D177" s="230"/>
      <c r="E177" s="182" t="str">
        <f ca="1">IF(ISERROR($V177),"",OFFSET('Smelter Look-up'!$D$4,$V177-4,0)&amp;"")</f>
        <v>CHINA</v>
      </c>
      <c r="F177" s="182" t="str">
        <f ca="1">IF(ISERROR($V177),"",OFFSET('Smelter Look-up'!$E$4,$V177-4,0))</f>
        <v>CID003190</v>
      </c>
      <c r="G177" s="182" t="str">
        <f ca="1">IF(C177=$X$4,IF(ISERROR($V177),"Enter smelter details","RMI"),IF(ISERROR($V177),"",OFFSET('Smelter Look-up'!$F$4,$V177-4,0)))</f>
        <v>RMI</v>
      </c>
      <c r="H177" s="183">
        <f ca="1">IF(ISERROR($V177),"",OFFSET('Smelter Look-up'!$G$4,$V177-4,0))</f>
        <v>0</v>
      </c>
      <c r="I177" s="184" t="str">
        <f ca="1">IF(ISERROR($V177),"",OFFSET('Smelter Look-up'!$H$4,$V177-4,0))</f>
        <v>Chifeng</v>
      </c>
      <c r="J177" s="184" t="str">
        <f ca="1">IF(ISERROR($V177),"",OFFSET('Smelter Look-up'!$I$4,$V177-4,0))</f>
        <v>Nei Mongol Zizhiqu</v>
      </c>
      <c r="K177" s="224"/>
      <c r="L177" s="224"/>
      <c r="M177" s="224"/>
      <c r="N177" s="224"/>
      <c r="O177" s="224"/>
      <c r="P177" s="185"/>
      <c r="Q177" s="225"/>
      <c r="R177" s="182" t="str">
        <f ca="1">IF(ISERROR($V177),"",OFFSET('Smelter Look-up'!$C$4,$V177-4,0)&amp;"")</f>
        <v>Chifeng Dajingzi Tin Industry Co., Ltd.</v>
      </c>
      <c r="S177" s="181" t="str">
        <f t="shared" ca="1" si="23"/>
        <v>CN</v>
      </c>
      <c r="T177" s="181" t="str">
        <f ca="1">IF(B177="","",IF(ISERROR(MATCH($J177,SorP!$B$1:$B$6226,0)),"",INDIRECT("'SorP'!$A$"&amp;MATCH($S177&amp;$J177,SorP!C:C,0))))</f>
        <v>CN-NM</v>
      </c>
      <c r="U177" s="201"/>
      <c r="V177" s="226">
        <f ca="1">IF(C177="",NA(),IF(OR(C177="Smelter not listed",C177="Smelter not yet identified"),MATCH($B177&amp;$D177,'Smelter Look-up'!$J:$J,0),MATCH($B177&amp;$C177,'Smelter Look-up'!$J:$J,0)))</f>
        <v>409</v>
      </c>
      <c r="X177" s="227">
        <f t="shared" ca="1" si="24"/>
        <v>0</v>
      </c>
      <c r="AB177" s="228" t="str">
        <f t="shared" ca="1" si="25"/>
        <v>TinChifeng Dajingzi Tin Industry Co., Ltd.</v>
      </c>
    </row>
    <row r="178" spans="1:28" s="227" customFormat="1" ht="20.399999999999999">
      <c r="A178" s="181" t="s">
        <v>13122</v>
      </c>
      <c r="B178" s="182" t="str">
        <f ca="1">IF(LEN(A178)=0,"",INDEX('Smelter Look-up'!$A:$A,MATCH($A178,'Smelter Look-up'!$E:$E,0)))</f>
        <v>Tin</v>
      </c>
      <c r="C178" s="186" t="str">
        <f ca="1">IF(LEN(A178)=0,"",INDEX('Smelter Look-up'!$C:$C,MATCH($A178,'Smelter Look-up'!$E:$E,0)))</f>
        <v>Tin Technology &amp; Refining</v>
      </c>
      <c r="D178" s="230"/>
      <c r="E178" s="182" t="str">
        <f ca="1">IF(ISERROR($V178),"",OFFSET('Smelter Look-up'!$D$4,$V178-4,0)&amp;"")</f>
        <v>UNITED STATES OF AMERICA</v>
      </c>
      <c r="F178" s="182" t="str">
        <f ca="1">IF(ISERROR($V178),"",OFFSET('Smelter Look-up'!$E$4,$V178-4,0))</f>
        <v>CID003325</v>
      </c>
      <c r="G178" s="182" t="str">
        <f ca="1">IF(C178=$X$4,IF(ISERROR($V178),"Enter smelter details","RMI"),IF(ISERROR($V178),"",OFFSET('Smelter Look-up'!$F$4,$V178-4,0)))</f>
        <v>RMI</v>
      </c>
      <c r="H178" s="183">
        <f ca="1">IF(ISERROR($V178),"",OFFSET('Smelter Look-up'!$G$4,$V178-4,0))</f>
        <v>0</v>
      </c>
      <c r="I178" s="184" t="str">
        <f ca="1">IF(ISERROR($V178),"",OFFSET('Smelter Look-up'!$H$4,$V178-4,0))</f>
        <v>West Chester</v>
      </c>
      <c r="J178" s="184" t="str">
        <f ca="1">IF(ISERROR($V178),"",OFFSET('Smelter Look-up'!$I$4,$V178-4,0))</f>
        <v>Pennsylvania</v>
      </c>
      <c r="K178" s="224"/>
      <c r="L178" s="224"/>
      <c r="M178" s="224"/>
      <c r="N178" s="224"/>
      <c r="O178" s="224"/>
      <c r="P178" s="185"/>
      <c r="Q178" s="225"/>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525</v>
      </c>
      <c r="X178" s="227">
        <f t="shared" ca="1" si="24"/>
        <v>0</v>
      </c>
      <c r="AB178" s="228" t="str">
        <f t="shared" ca="1" si="25"/>
        <v>TinTin Technology &amp; Refining</v>
      </c>
    </row>
    <row r="179" spans="1:28" s="227" customFormat="1" ht="20.399999999999999">
      <c r="A179" s="181" t="s">
        <v>13774</v>
      </c>
      <c r="B179" s="182" t="str">
        <f ca="1">IF(LEN(A179)=0,"",INDEX('Smelter Look-up'!$A:$A,MATCH($A179,'Smelter Look-up'!$E:$E,0)))</f>
        <v>Tin</v>
      </c>
      <c r="C179" s="186" t="str">
        <f ca="1">IF(LEN(A179)=0,"",INDEX('Smelter Look-up'!$C:$C,MATCH($A179,'Smelter Look-up'!$E:$E,0)))</f>
        <v>Luna Smelter, Ltd.</v>
      </c>
      <c r="D179" s="230"/>
      <c r="E179" s="182" t="str">
        <f ca="1">IF(ISERROR($V179),"",OFFSET('Smelter Look-up'!$D$4,$V179-4,0)&amp;"")</f>
        <v>RWANDA</v>
      </c>
      <c r="F179" s="182" t="str">
        <f ca="1">IF(ISERROR($V179),"",OFFSET('Smelter Look-up'!$E$4,$V179-4,0))</f>
        <v>CID003387</v>
      </c>
      <c r="G179" s="182" t="str">
        <f ca="1">IF(C179=$X$4,IF(ISERROR($V179),"Enter smelter details","RMI"),IF(ISERROR($V179),"",OFFSET('Smelter Look-up'!$F$4,$V179-4,0)))</f>
        <v>RMI</v>
      </c>
      <c r="H179" s="183">
        <f ca="1">IF(ISERROR($V179),"",OFFSET('Smelter Look-up'!$G$4,$V179-4,0))</f>
        <v>0</v>
      </c>
      <c r="I179" s="184" t="str">
        <f ca="1">IF(ISERROR($V179),"",OFFSET('Smelter Look-up'!$H$4,$V179-4,0))</f>
        <v>Kigali</v>
      </c>
      <c r="J179" s="184" t="str">
        <f ca="1">IF(ISERROR($V179),"",OFFSET('Smelter Look-up'!$I$4,$V179-4,0))</f>
        <v>City of Kigali</v>
      </c>
      <c r="K179" s="224"/>
      <c r="L179" s="224"/>
      <c r="M179" s="224"/>
      <c r="N179" s="224"/>
      <c r="O179" s="224"/>
      <c r="P179" s="185"/>
      <c r="Q179" s="225"/>
      <c r="R179" s="182" t="str">
        <f ca="1">IF(ISERROR($V179),"",OFFSET('Smelter Look-up'!$C$4,$V179-4,0)&amp;"")</f>
        <v>Luna Smelter, Ltd.</v>
      </c>
      <c r="S179" s="181" t="str">
        <f t="shared" ca="1" si="23"/>
        <v>RW</v>
      </c>
      <c r="T179" s="181" t="str">
        <f ca="1">IF(B179="","",IF(ISERROR(MATCH($J179,SorP!$B$1:$B$6226,0)),"",INDIRECT("'SorP'!$A$"&amp;MATCH($S179&amp;$J179,SorP!C:C,0))))</f>
        <v>RW-01</v>
      </c>
      <c r="U179" s="201"/>
      <c r="V179" s="226">
        <f ca="1">IF(C179="",NA(),IF(OR(C179="Smelter not listed",C179="Smelter not yet identified"),MATCH($B179&amp;$D179,'Smelter Look-up'!$J:$J,0),MATCH($B179&amp;$C179,'Smelter Look-up'!$J:$J,0)))</f>
        <v>465</v>
      </c>
      <c r="X179" s="227">
        <f t="shared" ca="1" si="24"/>
        <v>0</v>
      </c>
      <c r="AB179" s="228" t="str">
        <f t="shared" ca="1" si="25"/>
        <v>TinLuna Smelter, Ltd.</v>
      </c>
    </row>
    <row r="180" spans="1:28" s="227" customFormat="1" ht="20.399999999999999">
      <c r="A180" s="181" t="s">
        <v>13720</v>
      </c>
      <c r="B180" s="182" t="str">
        <f ca="1">IF(LEN(A180)=0,"",INDEX('Smelter Look-up'!$A:$A,MATCH($A180,'Smelter Look-up'!$E:$E,0)))</f>
        <v>Tin</v>
      </c>
      <c r="C180" s="186" t="str">
        <f ca="1">IF(LEN(A180)=0,"",INDEX('Smelter Look-up'!$C:$C,MATCH($A180,'Smelter Look-up'!$E:$E,0)))</f>
        <v>Yunnan Yunfan Non-ferrous Metals Co., Ltd.</v>
      </c>
      <c r="D180" s="230"/>
      <c r="E180" s="182" t="str">
        <f ca="1">IF(ISERROR($V180),"",OFFSET('Smelter Look-up'!$D$4,$V180-4,0)&amp;"")</f>
        <v>CHINA</v>
      </c>
      <c r="F180" s="182" t="str">
        <f ca="1">IF(ISERROR($V180),"",OFFSET('Smelter Look-up'!$E$4,$V180-4,0))</f>
        <v>CID003397</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Yunnan Yunfan Non-ferrous Metals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547</v>
      </c>
      <c r="X180" s="227">
        <f t="shared" ca="1" si="24"/>
        <v>0</v>
      </c>
      <c r="AB180" s="228" t="str">
        <f t="shared" ca="1" si="25"/>
        <v>TinYunnan Yunfan Non-ferrous Metals Co., Ltd.</v>
      </c>
    </row>
    <row r="181" spans="1:28" s="227" customFormat="1" ht="20.399999999999999">
      <c r="A181" s="181" t="s">
        <v>13730</v>
      </c>
      <c r="B181" s="182" t="str">
        <f ca="1">IF(LEN(A181)=0,"",INDEX('Smelter Look-up'!$A:$A,MATCH($A181,'Smelter Look-up'!$E:$E,0)))</f>
        <v>Tungsten</v>
      </c>
      <c r="C181" s="186" t="str">
        <f ca="1">IF(LEN(A181)=0,"",INDEX('Smelter Look-up'!$C:$C,MATCH($A181,'Smelter Look-up'!$E:$E,0)))</f>
        <v>Lianyou Metals Co., Ltd.</v>
      </c>
      <c r="D181" s="230"/>
      <c r="E181" s="182" t="str">
        <f ca="1">IF(ISERROR($V181),"",OFFSET('Smelter Look-up'!$D$4,$V181-4,0)&amp;"")</f>
        <v>TAIWAN, PROVINCE OF CHINA</v>
      </c>
      <c r="F181" s="182" t="str">
        <f ca="1">IF(ISERROR($V181),"",OFFSET('Smelter Look-up'!$E$4,$V181-4,0))</f>
        <v>CID003407</v>
      </c>
      <c r="G181" s="182" t="str">
        <f ca="1">IF(C181=$X$4,IF(ISERROR($V181),"Enter smelter details","RMI"),IF(ISERROR($V181),"",OFFSET('Smelter Look-up'!$F$4,$V181-4,0)))</f>
        <v>RMI</v>
      </c>
      <c r="H181" s="183">
        <f ca="1">IF(ISERROR($V181),"",OFFSET('Smelter Look-up'!$G$4,$V181-4,0))</f>
        <v>0</v>
      </c>
      <c r="I181" s="184" t="str">
        <f ca="1">IF(ISERROR($V181),"",OFFSET('Smelter Look-up'!$H$4,$V181-4,0))</f>
        <v>Fangliao</v>
      </c>
      <c r="J181" s="184" t="str">
        <f ca="1">IF(ISERROR($V181),"",OFFSET('Smelter Look-up'!$I$4,$V181-4,0))</f>
        <v>Pingtung</v>
      </c>
      <c r="K181" s="224"/>
      <c r="L181" s="224"/>
      <c r="M181" s="224"/>
      <c r="N181" s="224"/>
      <c r="O181" s="224"/>
      <c r="P181" s="185"/>
      <c r="Q181" s="225"/>
      <c r="R181" s="182" t="str">
        <f ca="1">IF(ISERROR($V181),"",OFFSET('Smelter Look-up'!$C$4,$V181-4,0)&amp;"")</f>
        <v>Lianyou Metals Co., Ltd.</v>
      </c>
      <c r="S181" s="181" t="str">
        <f t="shared" ca="1" si="23"/>
        <v>TW</v>
      </c>
      <c r="T181" s="181" t="str">
        <f ca="1">IF(B181="","",IF(ISERROR(MATCH($J181,SorP!$B$1:$B$6226,0)),"",INDIRECT("'SorP'!$A$"&amp;MATCH($S181&amp;$J181,SorP!C:C,0))))</f>
        <v>TW-PIF</v>
      </c>
      <c r="U181" s="201"/>
      <c r="V181" s="226">
        <f ca="1">IF(C181="",NA(),IF(OR(C181="Smelter not listed",C181="Smelter not yet identified"),MATCH($B181&amp;$D181,'Smelter Look-up'!$J:$J,0),MATCH($B181&amp;$C181,'Smelter Look-up'!$J:$J,0)))</f>
        <v>606</v>
      </c>
      <c r="X181" s="227">
        <f t="shared" ca="1" si="24"/>
        <v>0</v>
      </c>
      <c r="AB181" s="228" t="str">
        <f t="shared" ca="1" si="25"/>
        <v>TungstenLianyou Metals Co., Ltd.</v>
      </c>
    </row>
    <row r="182" spans="1:28" s="227" customFormat="1" ht="20.399999999999999">
      <c r="A182" s="181" t="s">
        <v>13779</v>
      </c>
      <c r="B182" s="182" t="str">
        <f ca="1">IF(LEN(A182)=0,"",INDEX('Smelter Look-up'!$A:$A,MATCH($A182,'Smelter Look-up'!$E:$E,0)))</f>
        <v>Tungsten</v>
      </c>
      <c r="C182" s="186" t="str">
        <f ca="1">IF(LEN(A182)=0,"",INDEX('Smelter Look-up'!$C:$C,MATCH($A182,'Smelter Look-up'!$E:$E,0)))</f>
        <v>Hubei Green Tungsten Co., Ltd.</v>
      </c>
      <c r="D182" s="230"/>
      <c r="E182" s="182" t="str">
        <f ca="1">IF(ISERROR($V182),"",OFFSET('Smelter Look-up'!$D$4,$V182-4,0)&amp;"")</f>
        <v>CHINA</v>
      </c>
      <c r="F182" s="182" t="str">
        <f ca="1">IF(ISERROR($V182),"",OFFSET('Smelter Look-up'!$E$4,$V182-4,0))</f>
        <v>CID003417</v>
      </c>
      <c r="G182" s="182" t="str">
        <f ca="1">IF(C182=$X$4,IF(ISERROR($V182),"Enter smelter details","RMI"),IF(ISERROR($V182),"",OFFSET('Smelter Look-up'!$F$4,$V182-4,0)))</f>
        <v>RMI</v>
      </c>
      <c r="H182" s="183">
        <f ca="1">IF(ISERROR($V182),"",OFFSET('Smelter Look-up'!$G$4,$V182-4,0))</f>
        <v>0</v>
      </c>
      <c r="I182" s="184" t="str">
        <f ca="1">IF(ISERROR($V182),"",OFFSET('Smelter Look-up'!$H$4,$V182-4,0))</f>
        <v>Shenzhen</v>
      </c>
      <c r="J182" s="184" t="str">
        <f ca="1">IF(ISERROR($V182),"",OFFSET('Smelter Look-up'!$I$4,$V182-4,0))</f>
        <v>Guangdong Sheng</v>
      </c>
      <c r="K182" s="224"/>
      <c r="L182" s="224"/>
      <c r="M182" s="224"/>
      <c r="N182" s="224"/>
      <c r="O182" s="224"/>
      <c r="P182" s="185"/>
      <c r="Q182" s="225"/>
      <c r="R182" s="182" t="str">
        <f ca="1">IF(ISERROR($V182),"",OFFSET('Smelter Look-up'!$C$4,$V182-4,0)&amp;"")</f>
        <v>Hubei Green Tungsten Co., Ltd.</v>
      </c>
      <c r="S182" s="181" t="str">
        <f t="shared" ca="1" si="23"/>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585</v>
      </c>
      <c r="X182" s="227">
        <f t="shared" ca="1" si="24"/>
        <v>0</v>
      </c>
      <c r="AB182" s="228" t="str">
        <f t="shared" ca="1" si="25"/>
        <v>TungstenHubei Green Tungsten Co., Ltd.</v>
      </c>
    </row>
    <row r="183" spans="1:28" s="227" customFormat="1" ht="20.399999999999999">
      <c r="A183" s="181" t="s">
        <v>13768</v>
      </c>
      <c r="B183" s="182" t="str">
        <f ca="1">IF(LEN(A183)=0,"",INDEX('Smelter Look-up'!$A:$A,MATCH($A183,'Smelter Look-up'!$E:$E,0)))</f>
        <v>Gold</v>
      </c>
      <c r="C183" s="186" t="str">
        <f ca="1">IF(LEN(A183)=0,"",INDEX('Smelter Look-up'!$C:$C,MATCH($A183,'Smelter Look-up'!$E:$E,0)))</f>
        <v>Eco-System Recycling Co., Ltd. North Plant</v>
      </c>
      <c r="D183" s="230"/>
      <c r="E183" s="182" t="str">
        <f ca="1">IF(ISERROR($V183),"",OFFSET('Smelter Look-up'!$D$4,$V183-4,0)&amp;"")</f>
        <v>JAPAN</v>
      </c>
      <c r="F183" s="182" t="str">
        <f ca="1">IF(ISERROR($V183),"",OFFSET('Smelter Look-up'!$E$4,$V183-4,0))</f>
        <v>CID003424</v>
      </c>
      <c r="G183" s="182" t="str">
        <f ca="1">IF(C183=$X$4,IF(ISERROR($V183),"Enter smelter details","RMI"),IF(ISERROR($V183),"",OFFSET('Smelter Look-up'!$F$4,$V183-4,0)))</f>
        <v>RMI</v>
      </c>
      <c r="H183" s="183">
        <f ca="1">IF(ISERROR($V183),"",OFFSET('Smelter Look-up'!$G$4,$V183-4,0))</f>
        <v>0</v>
      </c>
      <c r="I183" s="184" t="str">
        <f ca="1">IF(ISERROR($V183),"",OFFSET('Smelter Look-up'!$H$4,$V183-4,0))</f>
        <v>Kazuno</v>
      </c>
      <c r="J183" s="184" t="str">
        <f ca="1">IF(ISERROR($V183),"",OFFSET('Smelter Look-up'!$I$4,$V183-4,0))</f>
        <v>Akita</v>
      </c>
      <c r="K183" s="224"/>
      <c r="L183" s="224"/>
      <c r="M183" s="224"/>
      <c r="N183" s="224"/>
      <c r="O183" s="224"/>
      <c r="P183" s="185"/>
      <c r="Q183" s="225"/>
      <c r="R183" s="182" t="str">
        <f ca="1">IF(ISERROR($V183),"",OFFSET('Smelter Look-up'!$C$4,$V183-4,0)&amp;"")</f>
        <v>Eco-System Recycling Co., Ltd. North Plant</v>
      </c>
      <c r="S183" s="181" t="str">
        <f t="shared" ca="1" si="23"/>
        <v>JP</v>
      </c>
      <c r="T183" s="181" t="str">
        <f ca="1">IF(B183="","",IF(ISERROR(MATCH($J183,SorP!$B$1:$B$6226,0)),"",INDIRECT("'SorP'!$A$"&amp;MATCH($S183&amp;$J183,SorP!C:C,0))))</f>
        <v>JP-05</v>
      </c>
      <c r="U183" s="201"/>
      <c r="V183" s="226">
        <f ca="1">IF(C183="",NA(),IF(OR(C183="Smelter not listed",C183="Smelter not yet identified"),MATCH($B183&amp;$D183,'Smelter Look-up'!$J:$J,0),MATCH($B183&amp;$C183,'Smelter Look-up'!$J:$J,0)))</f>
        <v>74</v>
      </c>
      <c r="X183" s="227">
        <f t="shared" ca="1" si="24"/>
        <v>0</v>
      </c>
      <c r="AB183" s="228" t="str">
        <f t="shared" ca="1" si="25"/>
        <v>GoldEco-System Recycling Co., Ltd. North Plant</v>
      </c>
    </row>
    <row r="184" spans="1:28" s="227" customFormat="1" ht="20.399999999999999">
      <c r="A184" s="181" t="s">
        <v>13769</v>
      </c>
      <c r="B184" s="182" t="str">
        <f ca="1">IF(LEN(A184)=0,"",INDEX('Smelter Look-up'!$A:$A,MATCH($A184,'Smelter Look-up'!$E:$E,0)))</f>
        <v>Gold</v>
      </c>
      <c r="C184" s="186" t="str">
        <f ca="1">IF(LEN(A184)=0,"",INDEX('Smelter Look-up'!$C:$C,MATCH($A184,'Smelter Look-up'!$E:$E,0)))</f>
        <v>Eco-System Recycling Co., Ltd. West Plant</v>
      </c>
      <c r="D184" s="230"/>
      <c r="E184" s="182" t="str">
        <f ca="1">IF(ISERROR($V184),"",OFFSET('Smelter Look-up'!$D$4,$V184-4,0)&amp;"")</f>
        <v>JAPAN</v>
      </c>
      <c r="F184" s="182" t="str">
        <f ca="1">IF(ISERROR($V184),"",OFFSET('Smelter Look-up'!$E$4,$V184-4,0))</f>
        <v>CID003425</v>
      </c>
      <c r="G184" s="182" t="str">
        <f ca="1">IF(C184=$X$4,IF(ISERROR($V184),"Enter smelter details","RMI"),IF(ISERROR($V184),"",OFFSET('Smelter Look-up'!$F$4,$V184-4,0)))</f>
        <v>RMI</v>
      </c>
      <c r="H184" s="183">
        <f ca="1">IF(ISERROR($V184),"",OFFSET('Smelter Look-up'!$G$4,$V184-4,0))</f>
        <v>0</v>
      </c>
      <c r="I184" s="184" t="str">
        <f ca="1">IF(ISERROR($V184),"",OFFSET('Smelter Look-up'!$H$4,$V184-4,0))</f>
        <v>Okayama</v>
      </c>
      <c r="J184" s="184" t="str">
        <f ca="1">IF(ISERROR($V184),"",OFFSET('Smelter Look-up'!$I$4,$V184-4,0))</f>
        <v>Okayama</v>
      </c>
      <c r="K184" s="224"/>
      <c r="L184" s="224"/>
      <c r="M184" s="224"/>
      <c r="N184" s="224"/>
      <c r="O184" s="224"/>
      <c r="P184" s="185"/>
      <c r="Q184" s="225"/>
      <c r="R184" s="182" t="str">
        <f ca="1">IF(ISERROR($V184),"",OFFSET('Smelter Look-up'!$C$4,$V184-4,0)&amp;"")</f>
        <v>Eco-System Recycling Co., Ltd. West Plant</v>
      </c>
      <c r="S184" s="181" t="str">
        <f t="shared" ca="1" si="23"/>
        <v>JP</v>
      </c>
      <c r="T184" s="181" t="str">
        <f ca="1">IF(B184="","",IF(ISERROR(MATCH($J184,SorP!$B$1:$B$6226,0)),"",INDIRECT("'SorP'!$A$"&amp;MATCH($S184&amp;$J184,SorP!C:C,0))))</f>
        <v>JP-33</v>
      </c>
      <c r="U184" s="201"/>
      <c r="V184" s="226">
        <f ca="1">IF(C184="",NA(),IF(OR(C184="Smelter not listed",C184="Smelter not yet identified"),MATCH($B184&amp;$D184,'Smelter Look-up'!$J:$J,0),MATCH($B184&amp;$C184,'Smelter Look-up'!$J:$J,0)))</f>
        <v>75</v>
      </c>
      <c r="X184" s="227">
        <f t="shared" ca="1" si="24"/>
        <v>0</v>
      </c>
      <c r="AB184" s="228" t="str">
        <f t="shared" ca="1" si="25"/>
        <v>GoldEco-System Recycling Co., Ltd. West Plant</v>
      </c>
    </row>
    <row r="185" spans="1:28" s="227" customFormat="1" ht="20.399999999999999">
      <c r="A185" s="181" t="s">
        <v>13775</v>
      </c>
      <c r="B185" s="182" t="str">
        <f ca="1">IF(LEN(A185)=0,"",INDEX('Smelter Look-up'!$A:$A,MATCH($A185,'Smelter Look-up'!$E:$E,0)))</f>
        <v>Tin</v>
      </c>
      <c r="C185" s="186" t="str">
        <f ca="1">IF(LEN(A185)=0,"",INDEX('Smelter Look-up'!$C:$C,MATCH($A185,'Smelter Look-up'!$E:$E,0)))</f>
        <v>PT Mitra Sukses Globalindo</v>
      </c>
      <c r="D185" s="230"/>
      <c r="E185" s="182" t="str">
        <f ca="1">IF(ISERROR($V185),"",OFFSET('Smelter Look-up'!$D$4,$V185-4,0)&amp;"")</f>
        <v>INDONESIA</v>
      </c>
      <c r="F185" s="182" t="str">
        <f ca="1">IF(ISERROR($V185),"",OFFSET('Smelter Look-up'!$E$4,$V185-4,0))</f>
        <v>CID003449</v>
      </c>
      <c r="G185" s="182" t="str">
        <f ca="1">IF(C185=$X$4,IF(ISERROR($V185),"Enter smelter details","RMI"),IF(ISERROR($V185),"",OFFSET('Smelter Look-up'!$F$4,$V185-4,0)))</f>
        <v>RMI</v>
      </c>
      <c r="H185" s="183">
        <f ca="1">IF(ISERROR($V185),"",OFFSET('Smelter Look-up'!$G$4,$V185-4,0))</f>
        <v>0</v>
      </c>
      <c r="I185" s="184" t="str">
        <f ca="1">IF(ISERROR($V185),"",OFFSET('Smelter Look-up'!$H$4,$V185-4,0))</f>
        <v>Pangkalpinang</v>
      </c>
      <c r="J185" s="184" t="str">
        <f ca="1">IF(ISERROR($V185),"",OFFSET('Smelter Look-up'!$I$4,$V185-4,0))</f>
        <v>Kepulauan Bangka Belitung</v>
      </c>
      <c r="K185" s="224"/>
      <c r="L185" s="224"/>
      <c r="M185" s="224"/>
      <c r="N185" s="224"/>
      <c r="O185" s="224"/>
      <c r="P185" s="185"/>
      <c r="Q185" s="225"/>
      <c r="R185" s="182" t="str">
        <f ca="1">IF(ISERROR($V185),"",OFFSET('Smelter Look-up'!$C$4,$V185-4,0)&amp;"")</f>
        <v>PT Mitra Sukses Globalindo</v>
      </c>
      <c r="S185" s="181" t="str">
        <f t="shared" ca="1" si="23"/>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503</v>
      </c>
      <c r="X185" s="227">
        <f t="shared" ca="1" si="24"/>
        <v>0</v>
      </c>
      <c r="AB185" s="228" t="str">
        <f t="shared" ca="1" si="25"/>
        <v>TinPT Mitra Sukses Globalindo</v>
      </c>
    </row>
    <row r="186" spans="1:28" s="227" customFormat="1" ht="20.399999999999999">
      <c r="A186" s="181" t="s">
        <v>13778</v>
      </c>
      <c r="B186" s="182" t="str">
        <f ca="1">IF(LEN(A186)=0,"",INDEX('Smelter Look-up'!$A:$A,MATCH($A186,'Smelter Look-up'!$E:$E,0)))</f>
        <v>Tungsten</v>
      </c>
      <c r="C186" s="186" t="str">
        <f ca="1">IF(LEN(A186)=0,"",INDEX('Smelter Look-up'!$C:$C,MATCH($A186,'Smelter Look-up'!$E:$E,0)))</f>
        <v>Cronimet Brasil Ltda</v>
      </c>
      <c r="D186" s="230"/>
      <c r="E186" s="182" t="str">
        <f ca="1">IF(ISERROR($V186),"",OFFSET('Smelter Look-up'!$D$4,$V186-4,0)&amp;"")</f>
        <v>BRAZIL</v>
      </c>
      <c r="F186" s="182" t="str">
        <f ca="1">IF(ISERROR($V186),"",OFFSET('Smelter Look-up'!$E$4,$V186-4,0))</f>
        <v>CID003468</v>
      </c>
      <c r="G186" s="182" t="str">
        <f ca="1">IF(C186=$X$4,IF(ISERROR($V186),"Enter smelter details","RMI"),IF(ISERROR($V186),"",OFFSET('Smelter Look-up'!$F$4,$V186-4,0)))</f>
        <v>RMI</v>
      </c>
      <c r="H186" s="183">
        <f ca="1">IF(ISERROR($V186),"",OFFSET('Smelter Look-up'!$G$4,$V186-4,0))</f>
        <v>0</v>
      </c>
      <c r="I186" s="184" t="str">
        <f ca="1">IF(ISERROR($V186),"",OFFSET('Smelter Look-up'!$H$4,$V186-4,0))</f>
        <v>Araquari</v>
      </c>
      <c r="J186" s="184" t="str">
        <f ca="1">IF(ISERROR($V186),"",OFFSET('Smelter Look-up'!$I$4,$V186-4,0))</f>
        <v>Santa Catarina</v>
      </c>
      <c r="K186" s="224"/>
      <c r="L186" s="224"/>
      <c r="M186" s="224"/>
      <c r="N186" s="224"/>
      <c r="O186" s="224"/>
      <c r="P186" s="185"/>
      <c r="Q186" s="225"/>
      <c r="R186" s="182" t="str">
        <f ca="1">IF(ISERROR($V186),"",OFFSET('Smelter Look-up'!$C$4,$V186-4,0)&amp;"")</f>
        <v>Cronimet Brasil Ltda</v>
      </c>
      <c r="S186" s="181" t="str">
        <f t="shared" ca="1" si="23"/>
        <v>BR</v>
      </c>
      <c r="T186" s="181" t="str">
        <f ca="1">IF(B186="","",IF(ISERROR(MATCH($J186,SorP!$B$1:$B$6226,0)),"",INDIRECT("'SorP'!$A$"&amp;MATCH($S186&amp;$J186,SorP!C:C,0))))</f>
        <v>BR-SC</v>
      </c>
      <c r="U186" s="201"/>
      <c r="V186" s="226">
        <f ca="1">IF(C186="",NA(),IF(OR(C186="Smelter not listed",C186="Smelter not yet identified"),MATCH($B186&amp;$D186,'Smelter Look-up'!$J:$J,0),MATCH($B186&amp;$C186,'Smelter Look-up'!$J:$J,0)))</f>
        <v>571</v>
      </c>
      <c r="X186" s="227">
        <f t="shared" ca="1" si="24"/>
        <v>0</v>
      </c>
      <c r="AB186" s="228" t="str">
        <f t="shared" ca="1" si="25"/>
        <v>TungstenCronimet Brasil Ltda</v>
      </c>
    </row>
    <row r="187" spans="1:28" s="227" customFormat="1" ht="20.399999999999999">
      <c r="A187" s="181" t="s">
        <v>14958</v>
      </c>
      <c r="B187" s="182" t="str">
        <f ca="1">IF(LEN(A187)=0,"",INDEX('Smelter Look-up'!$A:$A,MATCH($A187,'Smelter Look-up'!$E:$E,0)))</f>
        <v>Tin</v>
      </c>
      <c r="C187" s="186" t="str">
        <f ca="1">IF(LEN(A187)=0,"",INDEX('Smelter Look-up'!$C:$C,MATCH($A187,'Smelter Look-up'!$E:$E,0)))</f>
        <v>CRM Synergies</v>
      </c>
      <c r="D187" s="230"/>
      <c r="E187" s="182" t="str">
        <f ca="1">IF(ISERROR($V187),"",OFFSET('Smelter Look-up'!$D$4,$V187-4,0)&amp;"")</f>
        <v>SPAIN</v>
      </c>
      <c r="F187" s="182" t="str">
        <f ca="1">IF(ISERROR($V187),"",OFFSET('Smelter Look-up'!$E$4,$V187-4,0))</f>
        <v>CID003524</v>
      </c>
      <c r="G187" s="182" t="str">
        <f ca="1">IF(C187=$X$4,IF(ISERROR($V187),"Enter smelter details","RMI"),IF(ISERROR($V187),"",OFFSET('Smelter Look-up'!$F$4,$V187-4,0)))</f>
        <v>RMI</v>
      </c>
      <c r="H187" s="183">
        <f ca="1">IF(ISERROR($V187),"",OFFSET('Smelter Look-up'!$G$4,$V187-4,0))</f>
        <v>0</v>
      </c>
      <c r="I187" s="184" t="str">
        <f ca="1">IF(ISERROR($V187),"",OFFSET('Smelter Look-up'!$H$4,$V187-4,0))</f>
        <v>Las Ventas de Retamosa</v>
      </c>
      <c r="J187" s="184" t="str">
        <f ca="1">IF(ISERROR($V187),"",OFFSET('Smelter Look-up'!$I$4,$V187-4,0))</f>
        <v>Toledo</v>
      </c>
      <c r="K187" s="224"/>
      <c r="L187" s="224"/>
      <c r="M187" s="224"/>
      <c r="N187" s="224"/>
      <c r="O187" s="224"/>
      <c r="P187" s="185"/>
      <c r="Q187" s="225"/>
      <c r="R187" s="182" t="str">
        <f ca="1">IF(ISERROR($V187),"",OFFSET('Smelter Look-up'!$C$4,$V187-4,0)&amp;"")</f>
        <v>CRM Synergies</v>
      </c>
      <c r="S187" s="181" t="str">
        <f t="shared" ca="1" si="23"/>
        <v>ES</v>
      </c>
      <c r="T187" s="181" t="str">
        <f ca="1">IF(B187="","",IF(ISERROR(MATCH($J187,SorP!$B$1:$B$6226,0)),"",INDIRECT("'SorP'!$A$"&amp;MATCH($S187&amp;$J187,SorP!C:C,0))))</f>
        <v>ES-TO</v>
      </c>
      <c r="U187" s="201"/>
      <c r="V187" s="226">
        <f ca="1">IF(C187="",NA(),IF(OR(C187="Smelter not listed",C187="Smelter not yet identified"),MATCH($B187&amp;$D187,'Smelter Look-up'!$J:$J,0),MATCH($B187&amp;$C187,'Smelter Look-up'!$J:$J,0)))</f>
        <v>419</v>
      </c>
      <c r="X187" s="227">
        <f t="shared" ca="1" si="24"/>
        <v>0</v>
      </c>
      <c r="AB187" s="228" t="str">
        <f t="shared" ca="1" si="25"/>
        <v>TinCRM Synergies</v>
      </c>
    </row>
    <row r="188" spans="1:28" s="227" customFormat="1" ht="20.399999999999999">
      <c r="A188" s="181" t="s">
        <v>14936</v>
      </c>
      <c r="B188" s="182" t="str">
        <f ca="1">IF(LEN(A188)=0,"",INDEX('Smelter Look-up'!$A:$A,MATCH($A188,'Smelter Look-up'!$E:$E,0)))</f>
        <v>Gold</v>
      </c>
      <c r="C188" s="186" t="str">
        <f ca="1">IF(LEN(A188)=0,"",INDEX('Smelter Look-up'!$C:$C,MATCH($A188,'Smelter Look-up'!$E:$E,0)))</f>
        <v>Metal Concentrators SA (Pty) Ltd.</v>
      </c>
      <c r="D188" s="230"/>
      <c r="E188" s="182" t="str">
        <f ca="1">IF(ISERROR($V188),"",OFFSET('Smelter Look-up'!$D$4,$V188-4,0)&amp;"")</f>
        <v>SOUTH AFRICA</v>
      </c>
      <c r="F188" s="182" t="str">
        <f ca="1">IF(ISERROR($V188),"",OFFSET('Smelter Look-up'!$E$4,$V188-4,0))</f>
        <v>CID003575</v>
      </c>
      <c r="G188" s="182" t="str">
        <f ca="1">IF(C188=$X$4,IF(ISERROR($V188),"Enter smelter details","RMI"),IF(ISERROR($V188),"",OFFSET('Smelter Look-up'!$F$4,$V188-4,0)))</f>
        <v>RMI</v>
      </c>
      <c r="H188" s="183">
        <f ca="1">IF(ISERROR($V188),"",OFFSET('Smelter Look-up'!$G$4,$V188-4,0))</f>
        <v>0</v>
      </c>
      <c r="I188" s="184" t="str">
        <f ca="1">IF(ISERROR($V188),"",OFFSET('Smelter Look-up'!$H$4,$V188-4,0))</f>
        <v>Kempton Park</v>
      </c>
      <c r="J188" s="184" t="str">
        <f ca="1">IF(ISERROR($V188),"",OFFSET('Smelter Look-up'!$I$4,$V188-4,0))</f>
        <v>Gauteng</v>
      </c>
      <c r="K188" s="224"/>
      <c r="L188" s="224"/>
      <c r="M188" s="224"/>
      <c r="N188" s="224"/>
      <c r="O188" s="224"/>
      <c r="P188" s="185"/>
      <c r="Q188" s="225"/>
      <c r="R188" s="182" t="str">
        <f ca="1">IF(ISERROR($V188),"",OFFSET('Smelter Look-up'!$C$4,$V188-4,0)&amp;"")</f>
        <v>Metal Concentrators SA (Pty) Ltd.</v>
      </c>
      <c r="S188" s="181" t="str">
        <f t="shared" ca="1" si="23"/>
        <v>ZA</v>
      </c>
      <c r="T188" s="181" t="str">
        <f ca="1">IF(B188="","",IF(ISERROR(MATCH($J188,SorP!$B$1:$B$6226,0)),"",INDIRECT("'SorP'!$A$"&amp;MATCH($S188&amp;$J188,SorP!C:C,0))))</f>
        <v>ZA-GP</v>
      </c>
      <c r="U188" s="201"/>
      <c r="V188" s="226">
        <f ca="1">IF(C188="",NA(),IF(OR(C188="Smelter not listed",C188="Smelter not yet identified"),MATCH($B188&amp;$D188,'Smelter Look-up'!$J:$J,0),MATCH($B188&amp;$C188,'Smelter Look-up'!$J:$J,0)))</f>
        <v>173</v>
      </c>
      <c r="X188" s="227">
        <f t="shared" ca="1" si="24"/>
        <v>0</v>
      </c>
      <c r="AB188" s="228" t="str">
        <f t="shared" ca="1" si="25"/>
        <v>GoldMetal Concentrators SA (Pty) Ltd.</v>
      </c>
    </row>
    <row r="189" spans="1:28" s="227" customFormat="1" ht="20.399999999999999">
      <c r="A189" s="181" t="s">
        <v>14961</v>
      </c>
      <c r="B189" s="182" t="str">
        <f ca="1">IF(LEN(A189)=0,"",INDEX('Smelter Look-up'!$A:$A,MATCH($A189,'Smelter Look-up'!$E:$E,0)))</f>
        <v>Tin</v>
      </c>
      <c r="C189" s="186" t="str">
        <f ca="1">IF(LEN(A189)=0,"",INDEX('Smelter Look-up'!$C:$C,MATCH($A189,'Smelter Look-up'!$E:$E,0)))</f>
        <v>Fabrica Auricchio Industria e Comercio Ltda.</v>
      </c>
      <c r="D189" s="230"/>
      <c r="E189" s="182" t="str">
        <f ca="1">IF(ISERROR($V189),"",OFFSET('Smelter Look-up'!$D$4,$V189-4,0)&amp;"")</f>
        <v>BRAZIL</v>
      </c>
      <c r="F189" s="182" t="str">
        <f ca="1">IF(ISERROR($V189),"",OFFSET('Smelter Look-up'!$E$4,$V189-4,0))</f>
        <v>CID003582</v>
      </c>
      <c r="G189" s="182" t="str">
        <f ca="1">IF(C189=$X$4,IF(ISERROR($V189),"Enter smelter details","RMI"),IF(ISERROR($V189),"",OFFSET('Smelter Look-up'!$F$4,$V189-4,0)))</f>
        <v>RMI</v>
      </c>
      <c r="H189" s="183">
        <f ca="1">IF(ISERROR($V189),"",OFFSET('Smelter Look-up'!$G$4,$V189-4,0))</f>
        <v>0</v>
      </c>
      <c r="I189" s="184" t="str">
        <f ca="1">IF(ISERROR($V189),"",OFFSET('Smelter Look-up'!$H$4,$V189-4,0))</f>
        <v>Mogi das Cruzes</v>
      </c>
      <c r="J189" s="184" t="str">
        <f ca="1">IF(ISERROR($V189),"",OFFSET('Smelter Look-up'!$I$4,$V189-4,0))</f>
        <v>São Paulo</v>
      </c>
      <c r="K189" s="224"/>
      <c r="L189" s="224"/>
      <c r="M189" s="224"/>
      <c r="N189" s="224"/>
      <c r="O189" s="224"/>
      <c r="P189" s="185"/>
      <c r="Q189" s="225"/>
      <c r="R189" s="182" t="str">
        <f ca="1">IF(ISERROR($V189),"",OFFSET('Smelter Look-up'!$C$4,$V189-4,0)&amp;"")</f>
        <v>Fabrica Auricchio Industria e Comercio Ltda.</v>
      </c>
      <c r="S189" s="181" t="str">
        <f t="shared" ca="1" si="23"/>
        <v>BR</v>
      </c>
      <c r="T189" s="181" t="str">
        <f ca="1">IF(B189="","",IF(ISERROR(MATCH($J189,SorP!$B$1:$B$6226,0)),"",INDIRECT("'SorP'!$A$"&amp;MATCH($S189&amp;$J189,SorP!C:C,0))))</f>
        <v>BR-SP</v>
      </c>
      <c r="U189" s="201"/>
      <c r="V189" s="226">
        <f ca="1">IF(C189="",NA(),IF(OR(C189="Smelter not listed",C189="Smelter not yet identified"),MATCH($B189&amp;$D189,'Smelter Look-up'!$J:$J,0),MATCH($B189&amp;$C189,'Smelter Look-up'!$J:$J,0)))</f>
        <v>436</v>
      </c>
      <c r="X189" s="227">
        <f t="shared" ca="1" si="24"/>
        <v>0</v>
      </c>
      <c r="AB189" s="228" t="str">
        <f t="shared" ca="1" si="25"/>
        <v>TinFabrica Auricchio Industria e Comercio Ltda.</v>
      </c>
    </row>
    <row r="190" spans="1:28" s="227" customFormat="1" ht="20.399999999999999">
      <c r="A190" s="181" t="s">
        <v>15287</v>
      </c>
      <c r="B190" s="182" t="str">
        <f ca="1">IF(LEN(A190)=0,"",INDEX('Smelter Look-up'!$A:$A,MATCH($A190,'Smelter Look-up'!$E:$E,0)))</f>
        <v>Gold</v>
      </c>
      <c r="C190" s="186" t="str">
        <f ca="1">IF(LEN(A190)=0,"",INDEX('Smelter Look-up'!$C:$C,MATCH($A190,'Smelter Look-up'!$E:$E,0)))</f>
        <v>Gold by Gold Colombia</v>
      </c>
      <c r="D190" s="230"/>
      <c r="E190" s="182" t="str">
        <f ca="1">IF(ISERROR($V190),"",OFFSET('Smelter Look-up'!$D$4,$V190-4,0)&amp;"")</f>
        <v>COLOMBIA</v>
      </c>
      <c r="F190" s="182" t="str">
        <f ca="1">IF(ISERROR($V190),"",OFFSET('Smelter Look-up'!$E$4,$V190-4,0))</f>
        <v>CID003641</v>
      </c>
      <c r="G190" s="182" t="str">
        <f ca="1">IF(C190=$X$4,IF(ISERROR($V190),"Enter smelter details","RMI"),IF(ISERROR($V190),"",OFFSET('Smelter Look-up'!$F$4,$V190-4,0)))</f>
        <v>RMI</v>
      </c>
      <c r="H190" s="183">
        <f ca="1">IF(ISERROR($V190),"",OFFSET('Smelter Look-up'!$G$4,$V190-4,0))</f>
        <v>0</v>
      </c>
      <c r="I190" s="184" t="str">
        <f ca="1">IF(ISERROR($V190),"",OFFSET('Smelter Look-up'!$H$4,$V190-4,0))</f>
        <v>Medellín</v>
      </c>
      <c r="J190" s="184" t="str">
        <f ca="1">IF(ISERROR($V190),"",OFFSET('Smelter Look-up'!$I$4,$V190-4,0))</f>
        <v>Antioquia</v>
      </c>
      <c r="K190" s="224"/>
      <c r="L190" s="224"/>
      <c r="M190" s="224"/>
      <c r="N190" s="224"/>
      <c r="O190" s="224"/>
      <c r="P190" s="185"/>
      <c r="Q190" s="225"/>
      <c r="R190" s="182" t="str">
        <f ca="1">IF(ISERROR($V190),"",OFFSET('Smelter Look-up'!$C$4,$V190-4,0)&amp;"")</f>
        <v>Gold by Gold Colombia</v>
      </c>
      <c r="S190" s="181" t="str">
        <f t="shared" ca="1" si="23"/>
        <v>CO</v>
      </c>
      <c r="T190" s="181" t="str">
        <f ca="1">IF(B190="","",IF(ISERROR(MATCH($J190,SorP!$B$1:$B$6226,0)),"",INDIRECT("'SorP'!$A$"&amp;MATCH($S190&amp;$J190,SorP!C:C,0))))</f>
        <v>CO-ANT</v>
      </c>
      <c r="U190" s="201"/>
      <c r="V190" s="226">
        <f ca="1">IF(C190="",NA(),IF(OR(C190="Smelter not listed",C190="Smelter not yet identified"),MATCH($B190&amp;$D190,'Smelter Look-up'!$J:$J,0),MATCH($B190&amp;$C190,'Smelter Look-up'!$J:$J,0)))</f>
        <v>92</v>
      </c>
      <c r="X190" s="227">
        <f t="shared" ca="1" si="24"/>
        <v>0</v>
      </c>
      <c r="AB190" s="228" t="str">
        <f t="shared" ca="1" si="25"/>
        <v>GoldGold by Gold Colombia</v>
      </c>
    </row>
    <row r="191" spans="1:28" s="227" customFormat="1" ht="20.399999999999999">
      <c r="A191" s="181" t="s">
        <v>15310</v>
      </c>
      <c r="B191" s="182" t="str">
        <f ca="1">IF(LEN(A191)=0,"",INDEX('Smelter Look-up'!$A:$A,MATCH($A191,'Smelter Look-up'!$E:$E,0)))</f>
        <v>Tin</v>
      </c>
      <c r="C191" s="186" t="str">
        <f ca="1">IF(LEN(A191)=0,"",INDEX('Smelter Look-up'!$C:$C,MATCH($A191,'Smelter Look-up'!$E:$E,0)))</f>
        <v>PT Putera Sarana Shakti (PT PSS)</v>
      </c>
      <c r="D191" s="230"/>
      <c r="E191" s="182" t="str">
        <f ca="1">IF(ISERROR($V191),"",OFFSET('Smelter Look-up'!$D$4,$V191-4,0)&amp;"")</f>
        <v>INDONESIA</v>
      </c>
      <c r="F191" s="182" t="str">
        <f ca="1">IF(ISERROR($V191),"",OFFSET('Smelter Look-up'!$E$4,$V191-4,0))</f>
        <v>CID003868</v>
      </c>
      <c r="G191" s="182" t="str">
        <f ca="1">IF(C191=$X$4,IF(ISERROR($V191),"Enter smelter details","RMI"),IF(ISERROR($V191),"",OFFSET('Smelter Look-up'!$F$4,$V191-4,0)))</f>
        <v>RMI</v>
      </c>
      <c r="H191" s="183">
        <f ca="1">IF(ISERROR($V191),"",OFFSET('Smelter Look-up'!$G$4,$V191-4,0))</f>
        <v>0</v>
      </c>
      <c r="I191" s="184" t="str">
        <f ca="1">IF(ISERROR($V191),"",OFFSET('Smelter Look-up'!$H$4,$V191-4,0))</f>
        <v>Sungailiat</v>
      </c>
      <c r="J191" s="184" t="str">
        <f ca="1">IF(ISERROR($V191),"",OFFSET('Smelter Look-up'!$I$4,$V191-4,0))</f>
        <v>Kepulauan Bangka Belitung</v>
      </c>
      <c r="K191" s="224"/>
      <c r="L191" s="224"/>
      <c r="M191" s="224"/>
      <c r="N191" s="224"/>
      <c r="O191" s="224"/>
      <c r="P191" s="185"/>
      <c r="Q191" s="225"/>
      <c r="R191" s="182" t="str">
        <f ca="1">IF(ISERROR($V191),"",OFFSET('Smelter Look-up'!$C$4,$V191-4,0)&amp;"")</f>
        <v>PT Putera Sarana Shakti (PT PSS)</v>
      </c>
      <c r="S191" s="181" t="str">
        <f t="shared" ca="1" si="23"/>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506</v>
      </c>
      <c r="X191" s="227">
        <f t="shared" ca="1" si="24"/>
        <v>0</v>
      </c>
      <c r="AB191" s="228" t="str">
        <f t="shared" ca="1" si="25"/>
        <v>TinPT Putera Sarana Shakti (PT PSS)</v>
      </c>
    </row>
    <row r="192" spans="1:28" s="227" customFormat="1" ht="20.399999999999999">
      <c r="A192" s="181" t="s">
        <v>15364</v>
      </c>
      <c r="B192" s="182" t="str">
        <f ca="1">IF(LEN(A192)=0,"",INDEX('Smelter Look-up'!$A:$A,MATCH($A192,'Smelter Look-up'!$E:$E,0)))</f>
        <v>Tungsten</v>
      </c>
      <c r="C192" s="186" t="str">
        <f ca="1">IF(LEN(A192)=0,"",INDEX('Smelter Look-up'!$C:$C,MATCH($A192,'Smelter Look-up'!$E:$E,0)))</f>
        <v>Tungsten Vietnam Joint Stock Company</v>
      </c>
      <c r="D192" s="230"/>
      <c r="E192" s="182" t="str">
        <f ca="1">IF(ISERROR($V192),"",OFFSET('Smelter Look-up'!$D$4,$V192-4,0)&amp;"")</f>
        <v>VIET NAM</v>
      </c>
      <c r="F192" s="182" t="str">
        <f ca="1">IF(ISERROR($V192),"",OFFSET('Smelter Look-up'!$E$4,$V192-4,0))</f>
        <v>CID003993</v>
      </c>
      <c r="G192" s="182" t="str">
        <f ca="1">IF(C192=$X$4,IF(ISERROR($V192),"Enter smelter details","RMI"),IF(ISERROR($V192),"",OFFSET('Smelter Look-up'!$F$4,$V192-4,0)))</f>
        <v>RMI</v>
      </c>
      <c r="H192" s="183">
        <f ca="1">IF(ISERROR($V192),"",OFFSET('Smelter Look-up'!$G$4,$V192-4,0))</f>
        <v>0</v>
      </c>
      <c r="I192" s="184" t="str">
        <f ca="1">IF(ISERROR($V192),"",OFFSET('Smelter Look-up'!$H$4,$V192-4,0))</f>
        <v>Song Cong</v>
      </c>
      <c r="J192" s="184" t="str">
        <f ca="1">IF(ISERROR($V192),"",OFFSET('Smelter Look-up'!$I$4,$V192-4,0))</f>
        <v>Thái Nguyên</v>
      </c>
      <c r="K192" s="224"/>
      <c r="L192" s="224"/>
      <c r="M192" s="224"/>
      <c r="N192" s="224"/>
      <c r="O192" s="224"/>
      <c r="P192" s="185"/>
      <c r="Q192" s="225"/>
      <c r="R192" s="182" t="str">
        <f ca="1">IF(ISERROR($V192),"",OFFSET('Smelter Look-up'!$C$4,$V192-4,0)&amp;"")</f>
        <v>Tungsten Vietnam Joint Stock Company</v>
      </c>
      <c r="S192" s="181" t="str">
        <f t="shared" ca="1" si="23"/>
        <v>VN</v>
      </c>
      <c r="T192" s="181" t="str">
        <f ca="1">IF(B192="","",IF(ISERROR(MATCH($J192,SorP!$B$1:$B$6226,0)),"",INDIRECT("'SorP'!$A$"&amp;MATCH($S192&amp;$J192,SorP!C:C,0))))</f>
        <v>VN-69</v>
      </c>
      <c r="U192" s="201"/>
      <c r="V192" s="226">
        <f ca="1">IF(C192="",NA(),IF(OR(C192="Smelter not listed",C192="Smelter not yet identified"),MATCH($B192&amp;$D192,'Smelter Look-up'!$J:$J,0),MATCH($B192&amp;$C192,'Smelter Look-up'!$J:$J,0)))</f>
        <v>628</v>
      </c>
      <c r="X192" s="227">
        <f t="shared" ca="1" si="24"/>
        <v>0</v>
      </c>
      <c r="AB192" s="228" t="str">
        <f t="shared" ca="1" si="25"/>
        <v>TungstenTungsten Vietnam Joint Stock Company</v>
      </c>
    </row>
    <row r="193" spans="1:28" s="227" customFormat="1" ht="20.399999999999999">
      <c r="A193" s="181" t="s">
        <v>15333</v>
      </c>
      <c r="B193" s="182" t="str">
        <f ca="1">IF(LEN(A193)=0,"",INDEX('Smelter Look-up'!$A:$A,MATCH($A193,'Smelter Look-up'!$E:$E,0)))</f>
        <v>Gold</v>
      </c>
      <c r="C193" s="186" t="str">
        <f ca="1">IF(LEN(A193)=0,"",INDEX('Smelter Look-up'!$C:$C,MATCH($A193,'Smelter Look-up'!$E:$E,0)))</f>
        <v>Coimpa Industrial LTDA</v>
      </c>
      <c r="D193" s="230"/>
      <c r="E193" s="182" t="str">
        <f ca="1">IF(ISERROR($V193),"",OFFSET('Smelter Look-up'!$D$4,$V193-4,0)&amp;"")</f>
        <v>BRAZIL</v>
      </c>
      <c r="F193" s="182" t="str">
        <f ca="1">IF(ISERROR($V193),"",OFFSET('Smelter Look-up'!$E$4,$V193-4,0))</f>
        <v>CID004010</v>
      </c>
      <c r="G193" s="182" t="str">
        <f ca="1">IF(C193=$X$4,IF(ISERROR($V193),"Enter smelter details","RMI"),IF(ISERROR($V193),"",OFFSET('Smelter Look-up'!$F$4,$V193-4,0)))</f>
        <v>RMI</v>
      </c>
      <c r="H193" s="183">
        <f ca="1">IF(ISERROR($V193),"",OFFSET('Smelter Look-up'!$G$4,$V193-4,0))</f>
        <v>0</v>
      </c>
      <c r="I193" s="184" t="str">
        <f ca="1">IF(ISERROR($V193),"",OFFSET('Smelter Look-up'!$H$4,$V193-4,0))</f>
        <v>Manaus</v>
      </c>
      <c r="J193" s="184" t="str">
        <f ca="1">IF(ISERROR($V193),"",OFFSET('Smelter Look-up'!$I$4,$V193-4,0))</f>
        <v>Amazonas</v>
      </c>
      <c r="K193" s="224"/>
      <c r="L193" s="224"/>
      <c r="M193" s="224"/>
      <c r="N193" s="224"/>
      <c r="O193" s="224"/>
      <c r="P193" s="185"/>
      <c r="Q193" s="225"/>
      <c r="R193" s="182" t="str">
        <f ca="1">IF(ISERROR($V193),"",OFFSET('Smelter Look-up'!$C$4,$V193-4,0)&amp;"")</f>
        <v>Coimpa Industrial LTDA</v>
      </c>
      <c r="S193" s="181" t="str">
        <f t="shared" ca="1" si="23"/>
        <v>BR</v>
      </c>
      <c r="T193" s="181" t="str">
        <f ca="1">IF(B193="","",IF(ISERROR(MATCH($J193,SorP!$B$1:$B$6226,0)),"",INDIRECT("'SorP'!$A$"&amp;MATCH($S193&amp;$J193,SorP!C:C,0))))</f>
        <v>BR-AM</v>
      </c>
      <c r="U193" s="201"/>
      <c r="V193" s="226">
        <f ca="1">IF(C193="",NA(),IF(OR(C193="Smelter not listed",C193="Smelter not yet identified"),MATCH($B193&amp;$D193,'Smelter Look-up'!$J:$J,0),MATCH($B193&amp;$C193,'Smelter Look-up'!$J:$J,0)))</f>
        <v>60</v>
      </c>
      <c r="X193" s="227">
        <f t="shared" ca="1" si="24"/>
        <v>0</v>
      </c>
      <c r="AB193" s="228" t="str">
        <f t="shared" ca="1" si="25"/>
        <v>GoldCoimpa Industrial LTDA</v>
      </c>
    </row>
    <row r="194" spans="1:28" s="227" customFormat="1" ht="20.399999999999999">
      <c r="A194" s="181" t="s">
        <v>15340</v>
      </c>
      <c r="B194" s="182" t="str">
        <f ca="1">IF(LEN(A194)=0,"",INDEX('Smelter Look-up'!$A:$A,MATCH($A194,'Smelter Look-up'!$E:$E,0)))</f>
        <v>Tantalum</v>
      </c>
      <c r="C194" s="186" t="str">
        <f ca="1">IF(LEN(A194)=0,"",INDEX('Smelter Look-up'!$C:$C,MATCH($A194,'Smelter Look-up'!$E:$E,0)))</f>
        <v>PowerX Ltd.</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RW-02</v>
      </c>
      <c r="U194" s="201"/>
      <c r="V194" s="226">
        <f ca="1">IF(C194="",NA(),IF(OR(C194="Smelter not listed",C194="Smelter not yet identified"),MATCH($B194&amp;$D194,'Smelter Look-up'!$J:$J,0),MATCH($B194&amp;$C194,'Smelter Look-up'!$J:$J,0)))</f>
        <v>372</v>
      </c>
      <c r="X194" s="227">
        <f t="shared" ca="1" si="24"/>
        <v>0</v>
      </c>
      <c r="AB194" s="228" t="str">
        <f t="shared" ca="1" si="25"/>
        <v>TantalumPowerX Ltd.</v>
      </c>
    </row>
    <row r="195" spans="1:28" s="227" customFormat="1" ht="20.399999999999999">
      <c r="A195" s="181" t="s">
        <v>15347</v>
      </c>
      <c r="B195" s="182" t="str">
        <f ca="1">IF(LEN(A195)=0,"",INDEX('Smelter Look-up'!$A:$A,MATCH($A195,'Smelter Look-up'!$E:$E,0)))</f>
        <v>Tin</v>
      </c>
      <c r="C195" s="186" t="str">
        <f ca="1">IF(LEN(A195)=0,"",INDEX('Smelter Look-up'!$C:$C,MATCH($A195,'Smelter Look-up'!$E:$E,0)))</f>
        <v>Mining Minerals Resources SARL</v>
      </c>
      <c r="D195" s="230"/>
      <c r="E195" s="182" t="str">
        <f ca="1">IF(ISERROR($V195),"",OFFSET('Smelter Look-up'!$D$4,$V195-4,0)&amp;"")</f>
        <v>CONGO, DEMOCRATIC REPUBLIC OF THE</v>
      </c>
      <c r="F195" s="182" t="str">
        <f ca="1">IF(ISERROR($V195),"",OFFSET('Smelter Look-up'!$E$4,$V195-4,0))</f>
        <v>CID004065</v>
      </c>
      <c r="G195" s="182" t="str">
        <f ca="1">IF(C195=$X$4,IF(ISERROR($V195),"Enter smelter details","RMI"),IF(ISERROR($V195),"",OFFSET('Smelter Look-up'!$F$4,$V195-4,0)))</f>
        <v>RMI</v>
      </c>
      <c r="H195" s="183">
        <f ca="1">IF(ISERROR($V195),"",OFFSET('Smelter Look-up'!$G$4,$V195-4,0))</f>
        <v>0</v>
      </c>
      <c r="I195" s="184" t="str">
        <f ca="1">IF(ISERROR($V195),"",OFFSET('Smelter Look-up'!$H$4,$V195-4,0))</f>
        <v>Lubumbashi</v>
      </c>
      <c r="J195" s="184" t="str">
        <f ca="1">IF(ISERROR($V195),"",OFFSET('Smelter Look-up'!$I$4,$V195-4,0))</f>
        <v>Haut-Katanga</v>
      </c>
      <c r="K195" s="224"/>
      <c r="L195" s="224"/>
      <c r="M195" s="224"/>
      <c r="N195" s="224"/>
      <c r="O195" s="224"/>
      <c r="P195" s="185"/>
      <c r="Q195" s="225"/>
      <c r="R195" s="182" t="str">
        <f ca="1">IF(ISERROR($V195),"",OFFSET('Smelter Look-up'!$C$4,$V195-4,0)&amp;"")</f>
        <v>Mining Minerals Resources SARL</v>
      </c>
      <c r="S195" s="181" t="str">
        <f t="shared" ca="1" si="23"/>
        <v>CD</v>
      </c>
      <c r="T195" s="181" t="str">
        <f ca="1">IF(B195="","",IF(ISERROR(MATCH($J195,SorP!$B$1:$B$6226,0)),"",INDIRECT("'SorP'!$A$"&amp;MATCH($S195&amp;$J195,SorP!C:C,0))))</f>
        <v>CD-HK</v>
      </c>
      <c r="U195" s="201"/>
      <c r="V195" s="226">
        <f ca="1">IF(C195="",NA(),IF(OR(C195="Smelter not listed",C195="Smelter not yet identified"),MATCH($B195&amp;$D195,'Smelter Look-up'!$J:$J,0),MATCH($B195&amp;$C195,'Smelter Look-up'!$J:$J,0)))</f>
        <v>480</v>
      </c>
      <c r="X195" s="227">
        <f t="shared" ca="1" si="24"/>
        <v>0</v>
      </c>
      <c r="AB195" s="228" t="str">
        <f t="shared" ca="1" si="25"/>
        <v>TinMining Minerals Resources SARL</v>
      </c>
    </row>
    <row r="196" spans="1:28" s="227" customFormat="1" ht="20.399999999999999">
      <c r="A196" s="181" t="s">
        <v>15650</v>
      </c>
      <c r="B196" s="182" t="str">
        <f ca="1">IF(LEN(A196)=0,"",INDEX('Smelter Look-up'!$A:$A,MATCH($A196,'Smelter Look-up'!$E:$E,0)))</f>
        <v>Tungsten</v>
      </c>
      <c r="C196" s="186" t="str">
        <f ca="1">IF(LEN(A196)=0,"",INDEX('Smelter Look-up'!$C:$C,MATCH($A196,'Smelter Look-up'!$E:$E,0)))</f>
        <v>Lianyou Resources Co., Ltd.</v>
      </c>
      <c r="D196" s="230"/>
      <c r="E196" s="182" t="str">
        <f ca="1">IF(ISERROR($V196),"",OFFSET('Smelter Look-up'!$D$4,$V196-4,0)&amp;"")</f>
        <v>TAIWAN, PROVINCE OF CHINA</v>
      </c>
      <c r="F196" s="182" t="str">
        <f ca="1">IF(ISERROR($V196),"",OFFSET('Smelter Look-up'!$E$4,$V196-4,0))</f>
        <v>CID004397</v>
      </c>
      <c r="G196" s="182" t="str">
        <f ca="1">IF(C196=$X$4,IF(ISERROR($V196),"Enter smelter details","RMI"),IF(ISERROR($V196),"",OFFSET('Smelter Look-up'!$F$4,$V196-4,0)))</f>
        <v>RMI</v>
      </c>
      <c r="H196" s="183">
        <f ca="1">IF(ISERROR($V196),"",OFFSET('Smelter Look-up'!$G$4,$V196-4,0))</f>
        <v>0</v>
      </c>
      <c r="I196" s="184" t="str">
        <f ca="1">IF(ISERROR($V196),"",OFFSET('Smelter Look-up'!$H$4,$V196-4,0))</f>
        <v>Wujie</v>
      </c>
      <c r="J196" s="184" t="str">
        <f ca="1">IF(ISERROR($V196),"",OFFSET('Smelter Look-up'!$I$4,$V196-4,0))</f>
        <v>Yilan</v>
      </c>
      <c r="K196" s="224"/>
      <c r="L196" s="224"/>
      <c r="M196" s="224"/>
      <c r="N196" s="224"/>
      <c r="O196" s="224"/>
      <c r="P196" s="185"/>
      <c r="Q196" s="225"/>
      <c r="R196" s="182" t="str">
        <f ca="1">IF(ISERROR($V196),"",OFFSET('Smelter Look-up'!$C$4,$V196-4,0)&amp;"")</f>
        <v>Lianyou Resources Co., Ltd.</v>
      </c>
      <c r="S196" s="181" t="str">
        <f t="shared" ca="1" si="23"/>
        <v>TW</v>
      </c>
      <c r="T196" s="181" t="str">
        <f ca="1">IF(B196="","",IF(ISERROR(MATCH($J196,SorP!$B$1:$B$6226,0)),"",INDIRECT("'SorP'!$A$"&amp;MATCH($S196&amp;$J196,SorP!C:C,0))))</f>
        <v>TW-ILA</v>
      </c>
      <c r="U196" s="201"/>
      <c r="V196" s="226">
        <f ca="1">IF(C196="",NA(),IF(OR(C196="Smelter not listed",C196="Smelter not yet identified"),MATCH($B196&amp;$D196,'Smelter Look-up'!$J:$J,0),MATCH($B196&amp;$C196,'Smelter Look-up'!$J:$J,0)))</f>
        <v>607</v>
      </c>
      <c r="X196" s="227">
        <f t="shared" ca="1" si="24"/>
        <v>0</v>
      </c>
      <c r="AB196" s="228" t="str">
        <f t="shared" ca="1" si="25"/>
        <v>TungstenLianyou Resources Co., Ltd.</v>
      </c>
    </row>
    <row r="197" spans="1:28" s="227" customFormat="1" ht="20.399999999999999">
      <c r="A197" s="181" t="s">
        <v>15639</v>
      </c>
      <c r="B197" s="182" t="str">
        <f ca="1">IF(LEN(A197)=0,"",INDEX('Smelter Look-up'!$A:$A,MATCH($A197,'Smelter Look-up'!$E:$E,0)))</f>
        <v>Tin</v>
      </c>
      <c r="C197" s="186" t="str">
        <f ca="1">IF(LEN(A197)=0,"",INDEX('Smelter Look-up'!$C:$C,MATCH($A197,'Smelter Look-up'!$E:$E,0)))</f>
        <v>Takehara PVD Materials Plant / PVD Materials Division of MITSUI MINING &amp; SMELTING CO., LTD.</v>
      </c>
      <c r="D197" s="230"/>
      <c r="E197" s="182" t="str">
        <f ca="1">IF(ISERROR($V197),"",OFFSET('Smelter Look-up'!$D$4,$V197-4,0)&amp;"")</f>
        <v>JAPAN</v>
      </c>
      <c r="F197" s="182" t="str">
        <f ca="1">IF(ISERROR($V197),"",OFFSET('Smelter Look-up'!$E$4,$V197-4,0))</f>
        <v>CID004403</v>
      </c>
      <c r="G197" s="182" t="str">
        <f ca="1">IF(C197=$X$4,IF(ISERROR($V197),"Enter smelter details","RMI"),IF(ISERROR($V197),"",OFFSET('Smelter Look-up'!$F$4,$V197-4,0)))</f>
        <v>RMI</v>
      </c>
      <c r="H197" s="183">
        <f ca="1">IF(ISERROR($V197),"",OFFSET('Smelter Look-up'!$G$4,$V197-4,0))</f>
        <v>0</v>
      </c>
      <c r="I197" s="184" t="str">
        <f ca="1">IF(ISERROR($V197),"",OFFSET('Smelter Look-up'!$H$4,$V197-4,0))</f>
        <v>Hiroshima</v>
      </c>
      <c r="J197" s="184" t="str">
        <f ca="1">IF(ISERROR($V197),"",OFFSET('Smelter Look-up'!$I$4,$V197-4,0))</f>
        <v>Hirosima</v>
      </c>
      <c r="K197" s="224"/>
      <c r="L197" s="224"/>
      <c r="M197" s="224"/>
      <c r="N197" s="224"/>
      <c r="O197" s="224"/>
      <c r="P197" s="185"/>
      <c r="Q197" s="225"/>
      <c r="R197" s="182" t="str">
        <f ca="1">IF(ISERROR($V197),"",OFFSET('Smelter Look-up'!$C$4,$V197-4,0)&amp;"")</f>
        <v>Takehara PVD Materials Plant / PVD Materials Division of MITSUI MINING &amp; SMELTING CO., LTD.</v>
      </c>
      <c r="S197" s="181" t="str">
        <f t="shared" ref="S197" ca="1" si="26">IF(B197="","",IF(ISERROR(MATCH($E197,CL,0)),"Unknown",INDIRECT("'C'!$A$"&amp;MATCH($E197,CL,0)+1)))</f>
        <v>JP</v>
      </c>
      <c r="T197" s="181" t="str">
        <f ca="1">IF(B197="","",IF(ISERROR(MATCH($J197,SorP!$B$1:$B$6226,0)),"",INDIRECT("'SorP'!$A$"&amp;MATCH($S197&amp;$J197,SorP!C:C,0))))</f>
        <v>JP-34</v>
      </c>
      <c r="U197" s="201"/>
      <c r="V197" s="226">
        <f ca="1">IF(C197="",NA(),IF(OR(C197="Smelter not listed",C197="Smelter not yet identified"),MATCH($B197&amp;$D197,'Smelter Look-up'!$J:$J,0),MATCH($B197&amp;$C197,'Smelter Look-up'!$J:$J,0)))</f>
        <v>518</v>
      </c>
      <c r="X197" s="227">
        <f t="shared" ref="X197" ca="1" si="27">IF(AND(C197="Smelter not listed",OR(LEN(D197)=0,LEN(E197)=0)),1,0)</f>
        <v>0</v>
      </c>
      <c r="AB197" s="228" t="str">
        <f t="shared" ref="AB197" ca="1" si="28">B197&amp;C197</f>
        <v>TinTakehara PVD Materials Plant / PVD Materials Division of MITSUI MINING &amp; SMELTING CO., LTD.</v>
      </c>
    </row>
    <row r="198" spans="1:28" s="227" customFormat="1" ht="20.399999999999999">
      <c r="A198" s="181" t="s">
        <v>15658</v>
      </c>
      <c r="B198" s="182" t="str">
        <f ca="1">IF(LEN(A198)=0,"",INDEX('Smelter Look-up'!$A:$A,MATCH($A198,'Smelter Look-up'!$E:$E,0)))</f>
        <v>Tungsten</v>
      </c>
      <c r="C198" s="186" t="str">
        <f ca="1">IF(LEN(A198)=0,"",INDEX('Smelter Look-up'!$C:$C,MATCH($A198,'Smelter Look-up'!$E:$E,0)))</f>
        <v>Shinwon Tungsten (Fujian Shanghang) Co., Ltd.</v>
      </c>
      <c r="D198" s="230"/>
      <c r="E198" s="182" t="str">
        <f ca="1">IF(ISERROR($V198),"",OFFSET('Smelter Look-up'!$D$4,$V198-4,0)&amp;"")</f>
        <v>CHINA</v>
      </c>
      <c r="F198" s="182" t="str">
        <f ca="1">IF(ISERROR($V198),"",OFFSET('Smelter Look-up'!$E$4,$V198-4,0))</f>
        <v>CID004430</v>
      </c>
      <c r="G198" s="182" t="str">
        <f ca="1">IF(C198=$X$4,IF(ISERROR($V198),"Enter smelter details","RMI"),IF(ISERROR($V198),"",OFFSET('Smelter Look-up'!$F$4,$V198-4,0)))</f>
        <v>RMI</v>
      </c>
      <c r="H198" s="183">
        <f ca="1">IF(ISERROR($V198),"",OFFSET('Smelter Look-up'!$G$4,$V198-4,0))</f>
        <v>0</v>
      </c>
      <c r="I198" s="184" t="str">
        <f ca="1">IF(ISERROR($V198),"",OFFSET('Smelter Look-up'!$H$4,$V198-4,0))</f>
        <v>Longyan</v>
      </c>
      <c r="J198" s="184" t="str">
        <f ca="1">IF(ISERROR($V198),"",OFFSET('Smelter Look-up'!$I$4,$V198-4,0))</f>
        <v>Fujian Sheng</v>
      </c>
      <c r="K198" s="224"/>
      <c r="L198" s="224"/>
      <c r="M198" s="224"/>
      <c r="N198" s="224"/>
      <c r="O198" s="224"/>
      <c r="P198" s="185"/>
      <c r="Q198" s="225"/>
      <c r="R198" s="182" t="str">
        <f ca="1">IF(ISERROR($V198),"",OFFSET('Smelter Look-up'!$C$4,$V198-4,0)&amp;"")</f>
        <v>Shinwon Tungsten (Fujian Shanghang) Co., Ltd.</v>
      </c>
      <c r="S198" s="181" t="str">
        <f t="shared" ref="S198:S229" ca="1" si="29">IF(B198="","",IF(ISERROR(MATCH($E198,CL,0)),"Unknown",INDIRECT("'C'!$A$"&amp;MATCH($E198,CL,0)+1)))</f>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625</v>
      </c>
      <c r="X198" s="227">
        <f t="shared" ref="X198:X229" ca="1" si="30">IF(AND(C198="Smelter not listed",OR(LEN(D198)=0,LEN(E198)=0)),1,0)</f>
        <v>0</v>
      </c>
      <c r="AB198" s="228" t="str">
        <f t="shared" ref="AB198:AB229" ca="1" si="31">B198&amp;C198</f>
        <v>TungstenShinwon Tungsten (Fujian Shanghang) Co., Ltd.</v>
      </c>
    </row>
    <row r="199" spans="1:28" s="227" customFormat="1" ht="20.399999999999999">
      <c r="A199" s="181" t="s">
        <v>15635</v>
      </c>
      <c r="B199" s="182" t="str">
        <f ca="1">IF(LEN(A199)=0,"",INDEX('Smelter Look-up'!$A:$A,MATCH($A199,'Smelter Look-up'!$E:$E,0)))</f>
        <v>Tin</v>
      </c>
      <c r="C199" s="186" t="str">
        <f ca="1">IF(LEN(A199)=0,"",INDEX('Smelter Look-up'!$C:$C,MATCH($A199,'Smelter Look-up'!$E:$E,0)))</f>
        <v>Malaysia Smelting Corporation Berhad (Port Klang)</v>
      </c>
      <c r="D199" s="230"/>
      <c r="E199" s="182" t="str">
        <f ca="1">IF(ISERROR($V199),"",OFFSET('Smelter Look-up'!$D$4,$V199-4,0)&amp;"")</f>
        <v>MALAYSIA</v>
      </c>
      <c r="F199" s="182" t="str">
        <f ca="1">IF(ISERROR($V199),"",OFFSET('Smelter Look-up'!$E$4,$V199-4,0))</f>
        <v>CID004434</v>
      </c>
      <c r="G199" s="182" t="str">
        <f ca="1">IF(C199=$X$4,IF(ISERROR($V199),"Enter smelter details","RMI"),IF(ISERROR($V199),"",OFFSET('Smelter Look-up'!$F$4,$V199-4,0)))</f>
        <v>RMI</v>
      </c>
      <c r="H199" s="183">
        <f ca="1">IF(ISERROR($V199),"",OFFSET('Smelter Look-up'!$G$4,$V199-4,0))</f>
        <v>0</v>
      </c>
      <c r="I199" s="184" t="str">
        <f ca="1">IF(ISERROR($V199),"",OFFSET('Smelter Look-up'!$H$4,$V199-4,0))</f>
        <v>Port Klang</v>
      </c>
      <c r="J199" s="184" t="str">
        <f ca="1">IF(ISERROR($V199),"",OFFSET('Smelter Look-up'!$I$4,$V199-4,0))</f>
        <v>Selangor</v>
      </c>
      <c r="K199" s="224"/>
      <c r="L199" s="224"/>
      <c r="M199" s="224"/>
      <c r="N199" s="224"/>
      <c r="O199" s="224"/>
      <c r="P199" s="185"/>
      <c r="Q199" s="225"/>
      <c r="R199" s="182" t="str">
        <f ca="1">IF(ISERROR($V199),"",OFFSET('Smelter Look-up'!$C$4,$V199-4,0)&amp;"")</f>
        <v>Malaysia Smelting Corporation Berhad (Port Klang)</v>
      </c>
      <c r="S199" s="181" t="str">
        <f t="shared" ca="1" si="29"/>
        <v>MY</v>
      </c>
      <c r="T199" s="181" t="str">
        <f ca="1">IF(B199="","",IF(ISERROR(MATCH($J199,SorP!$B$1:$B$6226,0)),"",INDIRECT("'SorP'!$A$"&amp;MATCH($S199&amp;$J199,SorP!C:C,0))))</f>
        <v>MY-10</v>
      </c>
      <c r="U199" s="201"/>
      <c r="V199" s="226">
        <f ca="1">IF(C199="",NA(),IF(OR(C199="Smelter not listed",C199="Smelter not yet identified"),MATCH($B199&amp;$D199,'Smelter Look-up'!$J:$J,0),MATCH($B199&amp;$C199,'Smelter Look-up'!$J:$J,0)))</f>
        <v>469</v>
      </c>
      <c r="X199" s="227">
        <f t="shared" ca="1" si="30"/>
        <v>0</v>
      </c>
      <c r="AB199" s="228" t="str">
        <f t="shared" ca="1" si="31"/>
        <v>TinMalaysia Smelting Corporation Berhad (Port Klang)</v>
      </c>
    </row>
    <row r="200" spans="1:28" s="227" customFormat="1" ht="20.399999999999999">
      <c r="A200" s="181" t="s">
        <v>15602</v>
      </c>
      <c r="B200" s="182" t="str">
        <f ca="1">IF(LEN(A200)=0,"",INDEX('Smelter Look-up'!$A:$A,MATCH($A200,'Smelter Look-up'!$E:$E,0)))</f>
        <v>Gold</v>
      </c>
      <c r="C200" s="186" t="str">
        <f ca="1">IF(LEN(A200)=0,"",INDEX('Smelter Look-up'!$C:$C,MATCH($A200,'Smelter Look-up'!$E:$E,0)))</f>
        <v>GG Refinery Ltd.</v>
      </c>
      <c r="D200" s="230"/>
      <c r="E200" s="182" t="str">
        <f ca="1">IF(ISERROR($V200),"",OFFSET('Smelter Look-up'!$D$4,$V200-4,0)&amp;"")</f>
        <v>TANZANIA, UNITED REPUBLIC OF</v>
      </c>
      <c r="F200" s="182" t="str">
        <f ca="1">IF(ISERROR($V200),"",OFFSET('Smelter Look-up'!$E$4,$V200-4,0))</f>
        <v>CID004506</v>
      </c>
      <c r="G200" s="182" t="str">
        <f ca="1">IF(C200=$X$4,IF(ISERROR($V200),"Enter smelter details","RMI"),IF(ISERROR($V200),"",OFFSET('Smelter Look-up'!$F$4,$V200-4,0)))</f>
        <v>RMI</v>
      </c>
      <c r="H200" s="183">
        <f ca="1">IF(ISERROR($V200),"",OFFSET('Smelter Look-up'!$G$4,$V200-4,0))</f>
        <v>0</v>
      </c>
      <c r="I200" s="184" t="str">
        <f ca="1">IF(ISERROR($V200),"",OFFSET('Smelter Look-up'!$H$4,$V200-4,0))</f>
        <v>Bomba Mbili</v>
      </c>
      <c r="J200" s="184" t="str">
        <f ca="1">IF(ISERROR($V200),"",OFFSET('Smelter Look-up'!$I$4,$V200-4,0))</f>
        <v>Geita</v>
      </c>
      <c r="K200" s="224"/>
      <c r="L200" s="224"/>
      <c r="M200" s="224"/>
      <c r="N200" s="224"/>
      <c r="O200" s="224"/>
      <c r="P200" s="185"/>
      <c r="Q200" s="225"/>
      <c r="R200" s="182" t="str">
        <f ca="1">IF(ISERROR($V200),"",OFFSET('Smelter Look-up'!$C$4,$V200-4,0)&amp;"")</f>
        <v>GG Refinery Ltd.</v>
      </c>
      <c r="S200" s="181" t="str">
        <f t="shared" ca="1" si="29"/>
        <v>TZ</v>
      </c>
      <c r="T200" s="181" t="str">
        <f ca="1">IF(B200="","",IF(ISERROR(MATCH($J200,SorP!$B$1:$B$6226,0)),"",INDIRECT("'SorP'!$A$"&amp;MATCH($S200&amp;$J200,SorP!C:C,0))))</f>
        <v>TZ-27</v>
      </c>
      <c r="U200" s="201"/>
      <c r="V200" s="226">
        <f ca="1">IF(C200="",NA(),IF(OR(C200="Smelter not listed",C200="Smelter not yet identified"),MATCH($B200&amp;$D200,'Smelter Look-up'!$J:$J,0),MATCH($B200&amp;$C200,'Smelter Look-up'!$J:$J,0)))</f>
        <v>90</v>
      </c>
      <c r="X200" s="227">
        <f t="shared" ca="1" si="30"/>
        <v>0</v>
      </c>
      <c r="AB200" s="228" t="str">
        <f t="shared" ca="1" si="31"/>
        <v>GoldGG Refinery Ltd.</v>
      </c>
    </row>
    <row r="201" spans="1:28" s="227" customFormat="1" ht="20.399999999999999">
      <c r="A201" s="181" t="s">
        <v>15648</v>
      </c>
      <c r="B201" s="182" t="str">
        <f ca="1">IF(LEN(A201)=0,"",INDEX('Smelter Look-up'!$A:$A,MATCH($A201,'Smelter Look-up'!$E:$E,0)))</f>
        <v>Tungsten</v>
      </c>
      <c r="C201" s="186" t="str">
        <f ca="1">IF(LEN(A201)=0,"",INDEX('Smelter Look-up'!$C:$C,MATCH($A201,'Smelter Look-up'!$E:$E,0)))</f>
        <v>KENEE MINING VIETNAM COMPANY LIMITED</v>
      </c>
      <c r="D201" s="230"/>
      <c r="E201" s="182" t="str">
        <f ca="1">IF(ISERROR($V201),"",OFFSET('Smelter Look-up'!$D$4,$V201-4,0)&amp;"")</f>
        <v>VIET NAM</v>
      </c>
      <c r="F201" s="182" t="str">
        <f ca="1">IF(ISERROR($V201),"",OFFSET('Smelter Look-up'!$E$4,$V201-4,0))</f>
        <v>CID004619</v>
      </c>
      <c r="G201" s="182" t="str">
        <f ca="1">IF(C201=$X$4,IF(ISERROR($V201),"Enter smelter details","RMI"),IF(ISERROR($V201),"",OFFSET('Smelter Look-up'!$F$4,$V201-4,0)))</f>
        <v>RMI</v>
      </c>
      <c r="H201" s="183">
        <f ca="1">IF(ISERROR($V201),"",OFFSET('Smelter Look-up'!$G$4,$V201-4,0))</f>
        <v>0</v>
      </c>
      <c r="I201" s="184" t="str">
        <f ca="1">IF(ISERROR($V201),"",OFFSET('Smelter Look-up'!$H$4,$V201-4,0))</f>
        <v>Song Cau Town</v>
      </c>
      <c r="J201" s="184" t="str">
        <f ca="1">IF(ISERROR($V201),"",OFFSET('Smelter Look-up'!$I$4,$V201-4,0))</f>
        <v>Phú Yên</v>
      </c>
      <c r="K201" s="224"/>
      <c r="L201" s="224"/>
      <c r="M201" s="224"/>
      <c r="N201" s="224"/>
      <c r="O201" s="224"/>
      <c r="P201" s="185"/>
      <c r="Q201" s="225"/>
      <c r="R201" s="182" t="str">
        <f ca="1">IF(ISERROR($V201),"",OFFSET('Smelter Look-up'!$C$4,$V201-4,0)&amp;"")</f>
        <v>KENEE MINING VIETNAM COMPANY LIMITED</v>
      </c>
      <c r="S201" s="181" t="str">
        <f t="shared" ca="1" si="29"/>
        <v>VN</v>
      </c>
      <c r="T201" s="181" t="str">
        <f ca="1">IF(B201="","",IF(ISERROR(MATCH($J201,SorP!$B$1:$B$6226,0)),"",INDIRECT("'SorP'!$A$"&amp;MATCH($S201&amp;$J201,SorP!C:C,0))))</f>
        <v>VN-32</v>
      </c>
      <c r="U201" s="201"/>
      <c r="V201" s="226">
        <f ca="1">IF(C201="",NA(),IF(OR(C201="Smelter not listed",C201="Smelter not yet identified"),MATCH($B201&amp;$D201,'Smelter Look-up'!$J:$J,0),MATCH($B201&amp;$C201,'Smelter Look-up'!$J:$J,0)))</f>
        <v>602</v>
      </c>
      <c r="X201" s="227">
        <f t="shared" ca="1" si="30"/>
        <v>0</v>
      </c>
      <c r="AB201" s="228" t="str">
        <f t="shared" ca="1" si="31"/>
        <v>TungstenKENEE MINING VIETNAM COMPANY LIMITED</v>
      </c>
    </row>
    <row r="202" spans="1:28" s="227" customFormat="1" ht="20.399999999999999">
      <c r="A202" s="181" t="s">
        <v>15607</v>
      </c>
      <c r="B202" s="182" t="str">
        <f ca="1">IF(LEN(A202)=0,"",INDEX('Smelter Look-up'!$A:$A,MATCH($A202,'Smelter Look-up'!$E:$E,0)))</f>
        <v>Gold</v>
      </c>
      <c r="C202" s="186" t="str">
        <f ca="1">IF(LEN(A202)=0,"",INDEX('Smelter Look-up'!$C:$C,MATCH($A202,'Smelter Look-up'!$E:$E,0)))</f>
        <v>Impala Platinum - Platinum Metals Refinery (PMR)</v>
      </c>
      <c r="D202" s="230"/>
      <c r="E202" s="182" t="str">
        <f ca="1">IF(ISERROR($V202),"",OFFSET('Smelter Look-up'!$D$4,$V202-4,0)&amp;"")</f>
        <v>SOUTH AFRICA</v>
      </c>
      <c r="F202" s="182" t="str">
        <f ca="1">IF(ISERROR($V202),"",OFFSET('Smelter Look-up'!$E$4,$V202-4,0))</f>
        <v>CID004714</v>
      </c>
      <c r="G202" s="182" t="str">
        <f ca="1">IF(C202=$X$4,IF(ISERROR($V202),"Enter smelter details","RMI"),IF(ISERROR($V202),"",OFFSET('Smelter Look-up'!$F$4,$V202-4,0)))</f>
        <v>RMI</v>
      </c>
      <c r="H202" s="183">
        <f ca="1">IF(ISERROR($V202),"",OFFSET('Smelter Look-up'!$G$4,$V202-4,0))</f>
        <v>0</v>
      </c>
      <c r="I202" s="184" t="str">
        <f ca="1">IF(ISERROR($V202),"",OFFSET('Smelter Look-up'!$H$4,$V202-4,0))</f>
        <v>Springs</v>
      </c>
      <c r="J202" s="184" t="str">
        <f ca="1">IF(ISERROR($V202),"",OFFSET('Smelter Look-up'!$I$4,$V202-4,0))</f>
        <v>Gauteng</v>
      </c>
      <c r="K202" s="224"/>
      <c r="L202" s="224"/>
      <c r="M202" s="224"/>
      <c r="N202" s="224"/>
      <c r="O202" s="224"/>
      <c r="P202" s="185"/>
      <c r="Q202" s="225"/>
      <c r="R202" s="182" t="str">
        <f ca="1">IF(ISERROR($V202),"",OFFSET('Smelter Look-up'!$C$4,$V202-4,0)&amp;"")</f>
        <v>Impala Platinum - Platinum Metals Refinery (PMR)</v>
      </c>
      <c r="S202" s="181" t="str">
        <f t="shared" ca="1" si="29"/>
        <v>ZA</v>
      </c>
      <c r="T202" s="181" t="str">
        <f ca="1">IF(B202="","",IF(ISERROR(MATCH($J202,SorP!$B$1:$B$6226,0)),"",INDIRECT("'SorP'!$A$"&amp;MATCH($S202&amp;$J202,SorP!C:C,0))))</f>
        <v>ZA-GP</v>
      </c>
      <c r="U202" s="201"/>
      <c r="V202" s="226">
        <f ca="1">IF(C202="",NA(),IF(OR(C202="Smelter not listed",C202="Smelter not yet identified"),MATCH($B202&amp;$D202,'Smelter Look-up'!$J:$J,0),MATCH($B202&amp;$C202,'Smelter Look-up'!$J:$J,0)))</f>
        <v>118</v>
      </c>
      <c r="X202" s="227">
        <f t="shared" ca="1" si="30"/>
        <v>0</v>
      </c>
      <c r="AB202" s="228" t="str">
        <f t="shared" ca="1" si="31"/>
        <v>GoldImpala Platinum - Platinum Metals Refinery (PMR)</v>
      </c>
    </row>
    <row r="203" spans="1:28" s="227" customFormat="1" ht="20.399999999999999">
      <c r="A203" s="181" t="s">
        <v>15819</v>
      </c>
      <c r="B203" s="182" t="e">
        <f ca="1">IF(LEN(A203)=0,"",INDEX('Smelter Look-up'!$A:$A,MATCH($A203,'Smelter Look-up'!$E:$E,0)))</f>
        <v>#N/A</v>
      </c>
      <c r="C203" s="186" t="e">
        <f ca="1">IF(LEN(A203)=0,"",INDEX('Smelter Look-up'!$C:$C,MATCH($A203,'Smelter Look-up'!$E:$E,0)))</f>
        <v>#N/A</v>
      </c>
      <c r="D203" s="230"/>
      <c r="E203" s="182" t="str">
        <f ca="1">IF(ISERROR($V203),"",OFFSET('Smelter Look-up'!$D$4,$V203-4,0)&amp;"")</f>
        <v/>
      </c>
      <c r="F203" s="182" t="str">
        <f ca="1">IF(ISERROR($V203),"",OFFSET('Smelter Look-up'!$E$4,$V203-4,0))</f>
        <v/>
      </c>
      <c r="G203" s="182" t="e">
        <f ca="1">IF(C203=$X$4,IF(ISERROR($V203),"Enter smelter details","RMI"),IF(ISERROR($V203),"",OFFSET('Smelter Look-up'!$F$4,$V203-4,0)))</f>
        <v>#N/A</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e">
        <f t="shared" ca="1" si="29"/>
        <v>#N/A</v>
      </c>
      <c r="T203" s="181" t="e">
        <f ca="1">IF(B203="","",IF(ISERROR(MATCH($J203,SorP!$B$1:$B$6226,0)),"",INDIRECT("'SorP'!$A$"&amp;MATCH($S203&amp;$J203,SorP!C:C,0))))</f>
        <v>#N/A</v>
      </c>
      <c r="U203" s="201"/>
      <c r="V203" s="226" t="e">
        <f ca="1">IF(C203="",NA(),IF(OR(C203="Smelter not listed",C203="Smelter not yet identified"),MATCH($B203&amp;$D203,'Smelter Look-up'!$J:$J,0),MATCH($B203&amp;$C203,'Smelter Look-up'!$J:$J,0)))</f>
        <v>#N/A</v>
      </c>
      <c r="X203" s="227" t="e">
        <f t="shared" ca="1" si="30"/>
        <v>#N/A</v>
      </c>
      <c r="AB203" s="228" t="e">
        <f t="shared" ca="1" si="31"/>
        <v>#N/A</v>
      </c>
    </row>
    <row r="204" spans="1:28" s="227" customFormat="1" ht="20.399999999999999">
      <c r="A204" s="181" t="s">
        <v>15641</v>
      </c>
      <c r="B204" s="182" t="str">
        <f ca="1">IF(LEN(A204)=0,"",INDEX('Smelter Look-up'!$A:$A,MATCH($A204,'Smelter Look-up'!$E:$E,0)))</f>
        <v>Tin</v>
      </c>
      <c r="C204" s="186" t="str">
        <f ca="1">IF(LEN(A204)=0,"",INDEX('Smelter Look-up'!$C:$C,MATCH($A204,'Smelter Look-up'!$E:$E,0)))</f>
        <v>Woodcross Smelting Company Limited</v>
      </c>
      <c r="D204" s="230"/>
      <c r="E204" s="182" t="str">
        <f ca="1">IF(ISERROR($V204),"",OFFSET('Smelter Look-up'!$D$4,$V204-4,0)&amp;"")</f>
        <v>UGANDA</v>
      </c>
      <c r="F204" s="182" t="str">
        <f ca="1">IF(ISERROR($V204),"",OFFSET('Smelter Look-up'!$E$4,$V204-4,0))</f>
        <v>CID004724</v>
      </c>
      <c r="G204" s="182" t="str">
        <f ca="1">IF(C204=$X$4,IF(ISERROR($V204),"Enter smelter details","RMI"),IF(ISERROR($V204),"",OFFSET('Smelter Look-up'!$F$4,$V204-4,0)))</f>
        <v>RMI</v>
      </c>
      <c r="H204" s="183">
        <f ca="1">IF(ISERROR($V204),"",OFFSET('Smelter Look-up'!$G$4,$V204-4,0))</f>
        <v>0</v>
      </c>
      <c r="I204" s="184" t="str">
        <f ca="1">IF(ISERROR($V204),"",OFFSET('Smelter Look-up'!$H$4,$V204-4,0))</f>
        <v>Mbarara</v>
      </c>
      <c r="J204" s="184" t="str">
        <f ca="1">IF(ISERROR($V204),"",OFFSET('Smelter Look-up'!$I$4,$V204-4,0))</f>
        <v>Western</v>
      </c>
      <c r="K204" s="224"/>
      <c r="L204" s="224"/>
      <c r="M204" s="224"/>
      <c r="N204" s="224"/>
      <c r="O204" s="224"/>
      <c r="P204" s="185"/>
      <c r="Q204" s="225"/>
      <c r="R204" s="182" t="str">
        <f ca="1">IF(ISERROR($V204),"",OFFSET('Smelter Look-up'!$C$4,$V204-4,0)&amp;"")</f>
        <v>Woodcross Smelting Company Limited</v>
      </c>
      <c r="S204" s="181" t="str">
        <f t="shared" ca="1" si="29"/>
        <v>UG</v>
      </c>
      <c r="T204" s="181" t="str">
        <f ca="1">IF(B204="","",IF(ISERROR(MATCH($J204,SorP!$B$1:$B$6226,0)),"",INDIRECT("'SorP'!$A$"&amp;MATCH($S204&amp;$J204,SorP!C:C,0))))</f>
        <v>UG-W</v>
      </c>
      <c r="U204" s="201"/>
      <c r="V204" s="226">
        <f ca="1">IF(C204="",NA(),IF(OR(C204="Smelter not listed",C204="Smelter not yet identified"),MATCH($B204&amp;$D204,'Smelter Look-up'!$J:$J,0),MATCH($B204&amp;$C204,'Smelter Look-up'!$J:$J,0)))</f>
        <v>533</v>
      </c>
      <c r="X204" s="227">
        <f t="shared" ca="1" si="30"/>
        <v>0</v>
      </c>
      <c r="AB204" s="228" t="str">
        <f t="shared" ca="1" si="31"/>
        <v>TinWoodcross Smelting Company Limited</v>
      </c>
    </row>
    <row r="205" spans="1:28" s="227" customFormat="1" ht="20.399999999999999">
      <c r="A205" s="181" t="s">
        <v>15627</v>
      </c>
      <c r="B205" s="182" t="str">
        <f ca="1">IF(LEN(A205)=0,"",INDEX('Smelter Look-up'!$A:$A,MATCH($A205,'Smelter Look-up'!$E:$E,0)))</f>
        <v>Tin</v>
      </c>
      <c r="C205" s="186" t="str">
        <f ca="1">IF(LEN(A205)=0,"",INDEX('Smelter Look-up'!$C:$C,MATCH($A205,'Smelter Look-up'!$E:$E,0)))</f>
        <v>Global Advanced Metals Greenbushes Pty Ltd.</v>
      </c>
      <c r="D205" s="230"/>
      <c r="E205" s="182" t="str">
        <f ca="1">IF(ISERROR($V205),"",OFFSET('Smelter Look-up'!$D$4,$V205-4,0)&amp;"")</f>
        <v>AUSTRALIA</v>
      </c>
      <c r="F205" s="182" t="str">
        <f ca="1">IF(ISERROR($V205),"",OFFSET('Smelter Look-up'!$E$4,$V205-4,0))</f>
        <v>CID004754</v>
      </c>
      <c r="G205" s="182" t="str">
        <f ca="1">IF(C205=$X$4,IF(ISERROR($V205),"Enter smelter details","RMI"),IF(ISERROR($V205),"",OFFSET('Smelter Look-up'!$F$4,$V205-4,0)))</f>
        <v>RMI</v>
      </c>
      <c r="H205" s="183">
        <f ca="1">IF(ISERROR($V205),"",OFFSET('Smelter Look-up'!$G$4,$V205-4,0))</f>
        <v>0</v>
      </c>
      <c r="I205" s="184" t="str">
        <f ca="1">IF(ISERROR($V205),"",OFFSET('Smelter Look-up'!$H$4,$V205-4,0))</f>
        <v>Greenbushes</v>
      </c>
      <c r="J205" s="184" t="str">
        <f ca="1">IF(ISERROR($V205),"",OFFSET('Smelter Look-up'!$I$4,$V205-4,0))</f>
        <v>Western Australia</v>
      </c>
      <c r="K205" s="224"/>
      <c r="L205" s="224"/>
      <c r="M205" s="224"/>
      <c r="N205" s="224"/>
      <c r="O205" s="224"/>
      <c r="P205" s="185"/>
      <c r="Q205" s="225"/>
      <c r="R205" s="182" t="str">
        <f ca="1">IF(ISERROR($V205),"",OFFSET('Smelter Look-up'!$C$4,$V205-4,0)&amp;"")</f>
        <v>Global Advanced Metals Greenbushes Pty Ltd.</v>
      </c>
      <c r="S205" s="181" t="str">
        <f t="shared" ca="1" si="29"/>
        <v>AU</v>
      </c>
      <c r="T205" s="181" t="str">
        <f ca="1">IF(B205="","",IF(ISERROR(MATCH($J205,SorP!$B$1:$B$6226,0)),"",INDIRECT("'SorP'!$A$"&amp;MATCH($S205&amp;$J205,SorP!C:C,0))))</f>
        <v>AU-WA</v>
      </c>
      <c r="U205" s="201"/>
      <c r="V205" s="226">
        <f ca="1">IF(C205="",NA(),IF(OR(C205="Smelter not listed",C205="Smelter not yet identified"),MATCH($B205&amp;$D205,'Smelter Look-up'!$J:$J,0),MATCH($B205&amp;$C205,'Smelter Look-up'!$J:$J,0)))</f>
        <v>447</v>
      </c>
      <c r="X205" s="227">
        <f t="shared" ca="1" si="30"/>
        <v>0</v>
      </c>
      <c r="AB205" s="228" t="str">
        <f t="shared" ca="1" si="31"/>
        <v>TinGlobal Advanced Metals Greenbushes Pty Ltd.</v>
      </c>
    </row>
    <row r="206" spans="1:28" s="227" customFormat="1" ht="20.399999999999999">
      <c r="A206" s="181" t="s">
        <v>15599</v>
      </c>
      <c r="B206" s="182" t="str">
        <f ca="1">IF(LEN(A206)=0,"",INDEX('Smelter Look-up'!$A:$A,MATCH($A206,'Smelter Look-up'!$E:$E,0)))</f>
        <v>Gold</v>
      </c>
      <c r="C206" s="186" t="str">
        <f ca="1">IF(LEN(A206)=0,"",INDEX('Smelter Look-up'!$C:$C,MATCH($A206,'Smelter Look-up'!$E:$E,0)))</f>
        <v>Elite Industech Co., Ltd.</v>
      </c>
      <c r="D206" s="230"/>
      <c r="E206" s="182" t="str">
        <f ca="1">IF(ISERROR($V206),"",OFFSET('Smelter Look-up'!$D$4,$V206-4,0)&amp;"")</f>
        <v>TAIWAN, PROVINCE OF CHINA</v>
      </c>
      <c r="F206" s="182" t="str">
        <f ca="1">IF(ISERROR($V206),"",OFFSET('Smelter Look-up'!$E$4,$V206-4,0))</f>
        <v>CID004755</v>
      </c>
      <c r="G206" s="182" t="str">
        <f ca="1">IF(C206=$X$4,IF(ISERROR($V206),"Enter smelter details","RMI"),IF(ISERROR($V206),"",OFFSET('Smelter Look-up'!$F$4,$V206-4,0)))</f>
        <v>RMI</v>
      </c>
      <c r="H206" s="183">
        <f ca="1">IF(ISERROR($V206),"",OFFSET('Smelter Look-up'!$G$4,$V206-4,0))</f>
        <v>0</v>
      </c>
      <c r="I206" s="184" t="str">
        <f ca="1">IF(ISERROR($V206),"",OFFSET('Smelter Look-up'!$H$4,$V206-4,0))</f>
        <v>Kaohsiung City</v>
      </c>
      <c r="J206" s="184" t="str">
        <f ca="1">IF(ISERROR($V206),"",OFFSET('Smelter Look-up'!$I$4,$V206-4,0))</f>
        <v>Kaohsiung</v>
      </c>
      <c r="K206" s="224"/>
      <c r="L206" s="224"/>
      <c r="M206" s="224"/>
      <c r="N206" s="224"/>
      <c r="O206" s="224"/>
      <c r="P206" s="185"/>
      <c r="Q206" s="225"/>
      <c r="R206" s="182" t="str">
        <f ca="1">IF(ISERROR($V206),"",OFFSET('Smelter Look-up'!$C$4,$V206-4,0)&amp;"")</f>
        <v>Elite Industech Co., Ltd.</v>
      </c>
      <c r="S206" s="181" t="str">
        <f t="shared" ca="1" si="29"/>
        <v>TW</v>
      </c>
      <c r="T206" s="181" t="str">
        <f ca="1">IF(B206="","",IF(ISERROR(MATCH($J206,SorP!$B$1:$B$6226,0)),"",INDIRECT("'SorP'!$A$"&amp;MATCH($S206&amp;$J206,SorP!C:C,0))))</f>
        <v>TW-KHH</v>
      </c>
      <c r="U206" s="201"/>
      <c r="V206" s="226">
        <f ca="1">IF(C206="",NA(),IF(OR(C206="Smelter not listed",C206="Smelter not yet identified"),MATCH($B206&amp;$D206,'Smelter Look-up'!$J:$J,0),MATCH($B206&amp;$C206,'Smelter Look-up'!$J:$J,0)))</f>
        <v>77</v>
      </c>
      <c r="X206" s="227">
        <f t="shared" ca="1" si="30"/>
        <v>0</v>
      </c>
      <c r="AB206" s="228" t="str">
        <f t="shared" ca="1" si="31"/>
        <v>GoldElite Industech Co., Ltd.</v>
      </c>
    </row>
    <row r="207" spans="1:28" s="227" customFormat="1" ht="20.399999999999999">
      <c r="A207" s="181" t="s">
        <v>15654</v>
      </c>
      <c r="B207" s="182" t="str">
        <f ca="1">IF(LEN(A207)=0,"",INDEX('Smelter Look-up'!$A:$A,MATCH($A207,'Smelter Look-up'!$E:$E,0)))</f>
        <v>Tungsten</v>
      </c>
      <c r="C207" s="186" t="str">
        <f ca="1">IF(LEN(A207)=0,"",INDEX('Smelter Look-up'!$C:$C,MATCH($A207,'Smelter Look-up'!$E:$E,0)))</f>
        <v>Philippine Bonway Manufacturing Industrial Corporation</v>
      </c>
      <c r="D207" s="230"/>
      <c r="E207" s="182" t="str">
        <f ca="1">IF(ISERROR($V207),"",OFFSET('Smelter Look-up'!$D$4,$V207-4,0)&amp;"")</f>
        <v>PHILIPPINES</v>
      </c>
      <c r="F207" s="182" t="str">
        <f ca="1">IF(ISERROR($V207),"",OFFSET('Smelter Look-up'!$E$4,$V207-4,0))</f>
        <v>CID004797</v>
      </c>
      <c r="G207" s="182" t="str">
        <f ca="1">IF(C207=$X$4,IF(ISERROR($V207),"Enter smelter details","RMI"),IF(ISERROR($V207),"",OFFSET('Smelter Look-up'!$F$4,$V207-4,0)))</f>
        <v>RMI</v>
      </c>
      <c r="H207" s="183">
        <f ca="1">IF(ISERROR($V207),"",OFFSET('Smelter Look-up'!$G$4,$V207-4,0))</f>
        <v>0</v>
      </c>
      <c r="I207" s="184" t="str">
        <f ca="1">IF(ISERROR($V207),"",OFFSET('Smelter Look-up'!$H$4,$V207-4,0))</f>
        <v>San Simon</v>
      </c>
      <c r="J207" s="184" t="str">
        <f ca="1">IF(ISERROR($V207),"",OFFSET('Smelter Look-up'!$I$4,$V207-4,0))</f>
        <v>Pampanga</v>
      </c>
      <c r="K207" s="224"/>
      <c r="L207" s="224"/>
      <c r="M207" s="224"/>
      <c r="N207" s="224"/>
      <c r="O207" s="224"/>
      <c r="P207" s="185"/>
      <c r="Q207" s="225"/>
      <c r="R207" s="182" t="str">
        <f ca="1">IF(ISERROR($V207),"",OFFSET('Smelter Look-up'!$C$4,$V207-4,0)&amp;"")</f>
        <v>Philippine Bonway Manufacturing Industrial Corporation</v>
      </c>
      <c r="S207" s="181" t="str">
        <f t="shared" ca="1" si="29"/>
        <v>PH</v>
      </c>
      <c r="T207" s="181" t="str">
        <f ca="1">IF(B207="","",IF(ISERROR(MATCH($J207,SorP!$B$1:$B$6226,0)),"",INDIRECT("'SorP'!$A$"&amp;MATCH($S207&amp;$J207,SorP!C:C,0))))</f>
        <v>PH-PAM</v>
      </c>
      <c r="U207" s="201"/>
      <c r="V207" s="226">
        <f ca="1">IF(C207="",NA(),IF(OR(C207="Smelter not listed",C207="Smelter not yet identified"),MATCH($B207&amp;$D207,'Smelter Look-up'!$J:$J,0),MATCH($B207&amp;$C207,'Smelter Look-up'!$J:$J,0)))</f>
        <v>621</v>
      </c>
      <c r="X207" s="227">
        <f t="shared" ca="1" si="30"/>
        <v>0</v>
      </c>
      <c r="AB207" s="228" t="str">
        <f t="shared" ca="1" si="31"/>
        <v>TungstenPhilippine Bonway Manufacturing Industrial Corporation</v>
      </c>
    </row>
    <row r="208" spans="1:28" s="227" customFormat="1" ht="20.399999999999999">
      <c r="A208" s="181" t="s">
        <v>15702</v>
      </c>
      <c r="B208" s="182" t="str">
        <f ca="1">IF(LEN(A208)=0,"",INDEX('Smelter Look-up'!$A:$A,MATCH($A208,'Smelter Look-up'!$E:$E,0)))</f>
        <v>Tungsten</v>
      </c>
      <c r="C208" s="186" t="str">
        <f ca="1">IF(LEN(A208)=0,"",INDEX('Smelter Look-up'!$C:$C,MATCH($A208,'Smelter Look-up'!$E:$E,0)))</f>
        <v>Jing Yuan Tungsten Technology Co., Ltd.</v>
      </c>
      <c r="D208" s="230"/>
      <c r="E208" s="182" t="str">
        <f ca="1">IF(ISERROR($V208),"",OFFSET('Smelter Look-up'!$D$4,$V208-4,0)&amp;"")</f>
        <v>TAIWAN, PROVINCE OF CHINA</v>
      </c>
      <c r="F208" s="182" t="str">
        <f ca="1">IF(ISERROR($V208),"",OFFSET('Smelter Look-up'!$E$4,$V208-4,0))</f>
        <v>CID005012</v>
      </c>
      <c r="G208" s="182" t="str">
        <f ca="1">IF(C208=$X$4,IF(ISERROR($V208),"Enter smelter details","RMI"),IF(ISERROR($V208),"",OFFSET('Smelter Look-up'!$F$4,$V208-4,0)))</f>
        <v>RMI</v>
      </c>
      <c r="H208" s="183">
        <f ca="1">IF(ISERROR($V208),"",OFFSET('Smelter Look-up'!$G$4,$V208-4,0))</f>
        <v>0</v>
      </c>
      <c r="I208" s="184" t="str">
        <f ca="1">IF(ISERROR($V208),"",OFFSET('Smelter Look-up'!$H$4,$V208-4,0))</f>
        <v>Fangliao Township</v>
      </c>
      <c r="J208" s="184" t="str">
        <f ca="1">IF(ISERROR($V208),"",OFFSET('Smelter Look-up'!$I$4,$V208-4,0))</f>
        <v>Pingtung</v>
      </c>
      <c r="K208" s="224"/>
      <c r="L208" s="224"/>
      <c r="M208" s="224"/>
      <c r="N208" s="224"/>
      <c r="O208" s="224"/>
      <c r="P208" s="185"/>
      <c r="Q208" s="225"/>
      <c r="R208" s="182" t="str">
        <f ca="1">IF(ISERROR($V208),"",OFFSET('Smelter Look-up'!$C$4,$V208-4,0)&amp;"")</f>
        <v>Jing Yuan Tungsten Technology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598</v>
      </c>
      <c r="X208" s="227">
        <f t="shared" ca="1" si="30"/>
        <v>0</v>
      </c>
      <c r="AB208" s="228" t="str">
        <f t="shared" ca="1" si="31"/>
        <v>TungstenJing Yuan Tungsten Technology Co., Ltd.</v>
      </c>
    </row>
    <row r="209" spans="1:28" s="227" customFormat="1" ht="20.399999999999999">
      <c r="A209" s="181" t="s">
        <v>15706</v>
      </c>
      <c r="B209" s="182" t="str">
        <f ca="1">IF(LEN(A209)=0,"",INDEX('Smelter Look-up'!$A:$A,MATCH($A209,'Smelter Look-up'!$E:$E,0)))</f>
        <v>Tungsten</v>
      </c>
      <c r="C209" s="186" t="str">
        <f ca="1">IF(LEN(A209)=0,"",INDEX('Smelter Look-up'!$C:$C,MATCH($A209,'Smelter Look-up'!$E:$E,0)))</f>
        <v>S.P.T. spol.s r.o.</v>
      </c>
      <c r="D209" s="230"/>
      <c r="E209" s="182" t="str">
        <f ca="1">IF(ISERROR($V209),"",OFFSET('Smelter Look-up'!$D$4,$V209-4,0)&amp;"")</f>
        <v>CZECHIA</v>
      </c>
      <c r="F209" s="182" t="str">
        <f ca="1">IF(ISERROR($V209),"",OFFSET('Smelter Look-up'!$E$4,$V209-4,0))</f>
        <v>CID005068</v>
      </c>
      <c r="G209" s="182" t="str">
        <f ca="1">IF(C209=$X$4,IF(ISERROR($V209),"Enter smelter details","RMI"),IF(ISERROR($V209),"",OFFSET('Smelter Look-up'!$F$4,$V209-4,0)))</f>
        <v>RMI</v>
      </c>
      <c r="H209" s="183">
        <f ca="1">IF(ISERROR($V209),"",OFFSET('Smelter Look-up'!$G$4,$V209-4,0))</f>
        <v>0</v>
      </c>
      <c r="I209" s="184" t="str">
        <f ca="1">IF(ISERROR($V209),"",OFFSET('Smelter Look-up'!$H$4,$V209-4,0))</f>
        <v>Mníšek pod Brdy</v>
      </c>
      <c r="J209" s="184" t="str">
        <f ca="1">IF(ISERROR($V209),"",OFFSET('Smelter Look-up'!$I$4,$V209-4,0))</f>
        <v>Středočeský kraj</v>
      </c>
      <c r="K209" s="224"/>
      <c r="L209" s="224"/>
      <c r="M209" s="224"/>
      <c r="N209" s="224"/>
      <c r="O209" s="224"/>
      <c r="P209" s="185"/>
      <c r="Q209" s="225"/>
      <c r="R209" s="182" t="str">
        <f ca="1">IF(ISERROR($V209),"",OFFSET('Smelter Look-up'!$C$4,$V209-4,0)&amp;"")</f>
        <v>S.P.T. spol.s r.o.</v>
      </c>
      <c r="S209" s="181" t="str">
        <f t="shared" ca="1" si="29"/>
        <v>CZ</v>
      </c>
      <c r="T209" s="181" t="str">
        <f ca="1">IF(B209="","",IF(ISERROR(MATCH($J209,SorP!$B$1:$B$6226,0)),"",INDIRECT("'SorP'!$A$"&amp;MATCH($S209&amp;$J209,SorP!C:C,0))))</f>
        <v>CZ-20</v>
      </c>
      <c r="U209" s="201"/>
      <c r="V209" s="226">
        <f ca="1">IF(C209="",NA(),IF(OR(C209="Smelter not listed",C209="Smelter not yet identified"),MATCH($B209&amp;$D209,'Smelter Look-up'!$J:$J,0),MATCH($B209&amp;$C209,'Smelter Look-up'!$J:$J,0)))</f>
        <v>624</v>
      </c>
      <c r="X209" s="227">
        <f t="shared" ca="1" si="30"/>
        <v>0</v>
      </c>
      <c r="AB209" s="228" t="str">
        <f t="shared" ca="1" si="31"/>
        <v>TungstenS.P.T. spol.s r.o.</v>
      </c>
    </row>
    <row r="210" spans="1:28" s="227" customFormat="1" ht="20.399999999999999">
      <c r="A210" s="181" t="s">
        <v>15693</v>
      </c>
      <c r="B210" s="182" t="str">
        <f ca="1">IF(LEN(A210)=0,"",INDEX('Smelter Look-up'!$A:$A,MATCH($A210,'Smelter Look-up'!$E:$E,0)))</f>
        <v>Tin</v>
      </c>
      <c r="C210" s="186" t="str">
        <f ca="1">IF(LEN(A210)=0,"",INDEX('Smelter Look-up'!$C:$C,MATCH($A210,'Smelter Look-up'!$E:$E,0)))</f>
        <v>P Kay Metal, Inc</v>
      </c>
      <c r="D210" s="230"/>
      <c r="E210" s="182" t="str">
        <f ca="1">IF(ISERROR($V210),"",OFFSET('Smelter Look-up'!$D$4,$V210-4,0)&amp;"")</f>
        <v>UNITED STATES OF AMERICA</v>
      </c>
      <c r="F210" s="182" t="str">
        <f ca="1">IF(ISERROR($V210),"",OFFSET('Smelter Look-up'!$E$4,$V210-4,0))</f>
        <v>CID005189</v>
      </c>
      <c r="G210" s="182" t="str">
        <f ca="1">IF(C210=$X$4,IF(ISERROR($V210),"Enter smelter details","RMI"),IF(ISERROR($V210),"",OFFSET('Smelter Look-up'!$F$4,$V210-4,0)))</f>
        <v>RMI</v>
      </c>
      <c r="H210" s="183">
        <f ca="1">IF(ISERROR($V210),"",OFFSET('Smelter Look-up'!$G$4,$V210-4,0))</f>
        <v>0</v>
      </c>
      <c r="I210" s="184" t="str">
        <f ca="1">IF(ISERROR($V210),"",OFFSET('Smelter Look-up'!$H$4,$V210-4,0))</f>
        <v>Lewiston</v>
      </c>
      <c r="J210" s="184" t="str">
        <f ca="1">IF(ISERROR($V210),"",OFFSET('Smelter Look-up'!$I$4,$V210-4,0))</f>
        <v>Idaho</v>
      </c>
      <c r="K210" s="224"/>
      <c r="L210" s="224"/>
      <c r="M210" s="224"/>
      <c r="N210" s="224"/>
      <c r="O210" s="224"/>
      <c r="P210" s="185"/>
      <c r="Q210" s="225"/>
      <c r="R210" s="182" t="str">
        <f ca="1">IF(ISERROR($V210),"",OFFSET('Smelter Look-up'!$C$4,$V210-4,0)&amp;"")</f>
        <v>P Kay Metal, Inc</v>
      </c>
      <c r="S210" s="181" t="str">
        <f t="shared" ca="1" si="29"/>
        <v>US</v>
      </c>
      <c r="T210" s="181" t="str">
        <f ca="1">IF(B210="","",IF(ISERROR(MATCH($J210,SorP!$B$1:$B$6226,0)),"",INDIRECT("'SorP'!$A$"&amp;MATCH($S210&amp;$J210,SorP!C:C,0))))</f>
        <v>US-ID</v>
      </c>
      <c r="U210" s="201"/>
      <c r="V210" s="226">
        <f ca="1">IF(C210="",NA(),IF(OR(C210="Smelter not listed",C210="Smelter not yet identified"),MATCH($B210&amp;$D210,'Smelter Look-up'!$J:$J,0),MATCH($B210&amp;$C210,'Smelter Look-up'!$J:$J,0)))</f>
        <v>495</v>
      </c>
      <c r="X210" s="227">
        <f t="shared" ca="1" si="30"/>
        <v>0</v>
      </c>
      <c r="AB210" s="228" t="str">
        <f t="shared" ca="1" si="31"/>
        <v>TinP Kay Metal, Inc</v>
      </c>
    </row>
    <row r="211" spans="1:28" s="227" customFormat="1" ht="20.399999999999999">
      <c r="A211" s="181" t="s">
        <v>15718</v>
      </c>
      <c r="B211" s="182" t="str">
        <f ca="1">IF(LEN(A211)=0,"",INDEX('Smelter Look-up'!$A:$A,MATCH($A211,'Smelter Look-up'!$E:$E,0)))</f>
        <v>Tungsten</v>
      </c>
      <c r="C211" s="186" t="str">
        <f ca="1">IF(LEN(A211)=0,"",INDEX('Smelter Look-up'!$C:$C,MATCH($A211,'Smelter Look-up'!$E:$E,0)))</f>
        <v>Tungamoy Metals Inc.</v>
      </c>
      <c r="D211" s="230"/>
      <c r="E211" s="182" t="str">
        <f ca="1">IF(ISERROR($V211),"",OFFSET('Smelter Look-up'!$D$4,$V211-4,0)&amp;"")</f>
        <v>KOREA, REPUBLIC OF</v>
      </c>
      <c r="F211" s="182" t="str">
        <f ca="1">IF(ISERROR($V211),"",OFFSET('Smelter Look-up'!$E$4,$V211-4,0))</f>
        <v>CID005248</v>
      </c>
      <c r="G211" s="182" t="str">
        <f ca="1">IF(C211=$X$4,IF(ISERROR($V211),"Enter smelter details","RMI"),IF(ISERROR($V211),"",OFFSET('Smelter Look-up'!$F$4,$V211-4,0)))</f>
        <v>RMI</v>
      </c>
      <c r="H211" s="183">
        <f ca="1">IF(ISERROR($V211),"",OFFSET('Smelter Look-up'!$G$4,$V211-4,0))</f>
        <v>0</v>
      </c>
      <c r="I211" s="184" t="str">
        <f ca="1">IF(ISERROR($V211),"",OFFSET('Smelter Look-up'!$H$4,$V211-4,0))</f>
        <v>Gunsan</v>
      </c>
      <c r="J211" s="184" t="str">
        <f ca="1">IF(ISERROR($V211),"",OFFSET('Smelter Look-up'!$I$4,$V211-4,0))</f>
        <v>Jeollabuk-do</v>
      </c>
      <c r="K211" s="224"/>
      <c r="L211" s="224"/>
      <c r="M211" s="224"/>
      <c r="N211" s="224"/>
      <c r="O211" s="224"/>
      <c r="P211" s="185"/>
      <c r="Q211" s="225"/>
      <c r="R211" s="182" t="str">
        <f ca="1">IF(ISERROR($V211),"",OFFSET('Smelter Look-up'!$C$4,$V211-4,0)&amp;"")</f>
        <v>Tungamoy Metals Inc.</v>
      </c>
      <c r="S211" s="181" t="str">
        <f t="shared" ca="1" si="29"/>
        <v>KR</v>
      </c>
      <c r="T211" s="181" t="str">
        <f ca="1">IF(B211="","",IF(ISERROR(MATCH($J211,SorP!$B$1:$B$6226,0)),"",INDIRECT("'SorP'!$A$"&amp;MATCH($S211&amp;$J211,SorP!C:C,0))))</f>
        <v>KR-45</v>
      </c>
      <c r="U211" s="201"/>
      <c r="V211" s="226">
        <f ca="1">IF(C211="",NA(),IF(OR(C211="Smelter not listed",C211="Smelter not yet identified"),MATCH($B211&amp;$D211,'Smelter Look-up'!$J:$J,0),MATCH($B211&amp;$C211,'Smelter Look-up'!$J:$J,0)))</f>
        <v>627</v>
      </c>
      <c r="X211" s="227">
        <f t="shared" ca="1" si="30"/>
        <v>0</v>
      </c>
      <c r="AB211" s="228" t="str">
        <f t="shared" ca="1" si="31"/>
        <v>TungstenTungamoy Metals Inc.</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2346BE-8AB9-4BC4-B26B-E7CF38B00D5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e">
        <f ca="1">IF(H70=0,"0",H70)</f>
        <v>#N/A</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46107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2026-03-26T18:22:21Z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